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updateLinks="never" codeName="ThisWorkbook"/>
  <mc:AlternateContent xmlns:mc="http://schemas.openxmlformats.org/markup-compatibility/2006">
    <mc:Choice Requires="x15">
      <x15ac:absPath xmlns:x15ac="http://schemas.microsoft.com/office/spreadsheetml/2010/11/ac" url="G:\Rate Analysis\AC &amp; Hosp\UHRIP\PGY3\Final Applications\"/>
    </mc:Choice>
  </mc:AlternateContent>
  <xr:revisionPtr revIDLastSave="0" documentId="10_ncr:100000_{53DCD74A-7AE3-48C1-B16F-247175010471}" xr6:coauthVersionLast="31" xr6:coauthVersionMax="31" xr10:uidLastSave="{00000000-0000-0000-0000-000000000000}"/>
  <bookViews>
    <workbookView xWindow="0" yWindow="0" windowWidth="28800" windowHeight="11325" tabRatio="786" activeTab="5" xr2:uid="{00000000-000D-0000-FFFF-FFFF00000000}"/>
  </bookViews>
  <sheets>
    <sheet name="NEW 1. Summary" sheetId="14" r:id="rId1"/>
    <sheet name="2. Analysis" sheetId="2" r:id="rId2"/>
    <sheet name="NEW 3. IGT Commitments" sheetId="17" r:id="rId3"/>
    <sheet name="4. MCO" sheetId="10" r:id="rId4"/>
    <sheet name="Internal Actuarial" sheetId="15" r:id="rId5"/>
    <sheet name="Internal BN Allotment &amp; IGT" sheetId="18" r:id="rId6"/>
  </sheets>
  <externalReferences>
    <externalReference r:id="rId7"/>
    <externalReference r:id="rId8"/>
    <externalReference r:id="rId9"/>
  </externalReferences>
  <definedNames>
    <definedName name="_xlnm._FilterDatabase" localSheetId="1" hidden="1">'2. Analysis'!$A$1:$AA$80</definedName>
    <definedName name="_MailOriginalBody" localSheetId="1">'2. Analysis'!$D$17</definedName>
    <definedName name="BexarTotal">'[1]Bexar Actuarial Adjustment'!$M$19</definedName>
    <definedName name="HospitalClass">'[2]Hospital Classes'!$B$2:$B$9</definedName>
    <definedName name="STAR_MCO_Factor">[3]assumptions!$B$7</definedName>
    <definedName name="STARPLUS_MCO_Factor">[3]assumptions!$B$8</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14" l="1"/>
  <c r="I8" i="14"/>
  <c r="S68" i="2" l="1"/>
  <c r="S69" i="2" s="1"/>
  <c r="C2" i="14" l="1"/>
  <c r="J5" i="14" l="1"/>
  <c r="N5" i="14" s="1"/>
  <c r="O5" i="14" s="1"/>
  <c r="J8" i="14"/>
  <c r="N8" i="14" s="1"/>
  <c r="O8" i="14" s="1"/>
  <c r="K5" i="14" l="1"/>
  <c r="K8" i="14"/>
  <c r="R58" i="2" l="1"/>
  <c r="R59" i="2" l="1"/>
  <c r="W59" i="2" s="1"/>
  <c r="R60" i="2"/>
  <c r="W60" i="2" s="1"/>
  <c r="R61" i="2"/>
  <c r="W61" i="2" s="1"/>
  <c r="X59" i="2"/>
  <c r="X60" i="2"/>
  <c r="X61" i="2"/>
  <c r="Z59" i="2" l="1"/>
  <c r="AA59" i="2" s="1"/>
  <c r="Z61" i="2"/>
  <c r="AA61" i="2" s="1"/>
  <c r="Z60" i="2"/>
  <c r="AA60" i="2" s="1"/>
  <c r="Y61" i="2"/>
  <c r="Y60" i="2"/>
  <c r="Y59" i="2"/>
  <c r="O66" i="2"/>
  <c r="P66" i="2"/>
  <c r="N66" i="2"/>
  <c r="O72" i="2" l="1"/>
  <c r="O73" i="2" s="1"/>
  <c r="R4" i="2" l="1"/>
  <c r="R3" i="2" l="1"/>
  <c r="R5" i="2"/>
  <c r="J3" i="14"/>
  <c r="R6" i="2"/>
  <c r="R7" i="2"/>
  <c r="R18" i="2"/>
  <c r="R9" i="2"/>
  <c r="R10" i="2"/>
  <c r="R11" i="2"/>
  <c r="R19" i="2"/>
  <c r="R13" i="2"/>
  <c r="R14" i="2"/>
  <c r="R15" i="2"/>
  <c r="R16" i="2"/>
  <c r="R17" i="2"/>
  <c r="R31" i="2"/>
  <c r="R33" i="2"/>
  <c r="R21" i="2"/>
  <c r="R22" i="2"/>
  <c r="R23" i="2"/>
  <c r="R24" i="2"/>
  <c r="R8" i="2"/>
  <c r="R20" i="2"/>
  <c r="R27" i="2"/>
  <c r="R28" i="2"/>
  <c r="R29" i="2"/>
  <c r="R26" i="2"/>
  <c r="R12" i="2"/>
  <c r="R32" i="2"/>
  <c r="R30" i="2"/>
  <c r="R34" i="2"/>
  <c r="R35" i="2"/>
  <c r="R36" i="2"/>
  <c r="R37" i="2"/>
  <c r="R38" i="2"/>
  <c r="R39" i="2"/>
  <c r="R40" i="2"/>
  <c r="R41" i="2"/>
  <c r="R42" i="2"/>
  <c r="R43" i="2"/>
  <c r="R44" i="2"/>
  <c r="R45" i="2"/>
  <c r="R46" i="2"/>
  <c r="R47" i="2"/>
  <c r="R48" i="2"/>
  <c r="R49" i="2"/>
  <c r="R25" i="2"/>
  <c r="R50" i="2"/>
  <c r="R51" i="2"/>
  <c r="R52" i="2"/>
  <c r="R53" i="2"/>
  <c r="R54" i="2"/>
  <c r="R55" i="2"/>
  <c r="R56" i="2"/>
  <c r="R57" i="2"/>
  <c r="J4" i="14"/>
  <c r="R62" i="2"/>
  <c r="R63" i="2"/>
  <c r="R64" i="2"/>
  <c r="J7" i="14"/>
  <c r="R65" i="2"/>
  <c r="R2" i="2"/>
  <c r="J6" i="14" l="1"/>
  <c r="J2" i="14"/>
  <c r="J9" i="14"/>
  <c r="W36" i="2"/>
  <c r="W39" i="2"/>
  <c r="W42" i="2"/>
  <c r="W44" i="2"/>
  <c r="W48" i="2"/>
  <c r="W50" i="2"/>
  <c r="W51" i="2"/>
  <c r="W54" i="2"/>
  <c r="W63" i="2"/>
  <c r="X36" i="2"/>
  <c r="Y36" i="2" s="1"/>
  <c r="W37" i="2"/>
  <c r="X37" i="2"/>
  <c r="W38" i="2"/>
  <c r="X38" i="2"/>
  <c r="Y38" i="2" s="1"/>
  <c r="X39" i="2"/>
  <c r="Y39" i="2" s="1"/>
  <c r="W40" i="2"/>
  <c r="X40" i="2"/>
  <c r="Y40" i="2" s="1"/>
  <c r="W41" i="2"/>
  <c r="X41" i="2"/>
  <c r="X42" i="2"/>
  <c r="Y42" i="2" s="1"/>
  <c r="W43" i="2"/>
  <c r="X43" i="2"/>
  <c r="Y43" i="2" s="1"/>
  <c r="X44" i="2"/>
  <c r="Y44" i="2" s="1"/>
  <c r="W45" i="2"/>
  <c r="X45" i="2"/>
  <c r="W46" i="2"/>
  <c r="X46" i="2"/>
  <c r="Y46" i="2" s="1"/>
  <c r="W47" i="2"/>
  <c r="X47" i="2"/>
  <c r="Y47" i="2" s="1"/>
  <c r="X48" i="2"/>
  <c r="Y48" i="2" s="1"/>
  <c r="W49" i="2"/>
  <c r="X49" i="2"/>
  <c r="Y49" i="2" s="1"/>
  <c r="W25" i="2"/>
  <c r="X25" i="2"/>
  <c r="Y25" i="2" s="1"/>
  <c r="X50" i="2"/>
  <c r="Y50" i="2" s="1"/>
  <c r="X51" i="2"/>
  <c r="Y51" i="2" s="1"/>
  <c r="W52" i="2"/>
  <c r="X52" i="2"/>
  <c r="W53" i="2"/>
  <c r="X53" i="2"/>
  <c r="Y53" i="2" s="1"/>
  <c r="X54" i="2"/>
  <c r="Y54" i="2" s="1"/>
  <c r="W55" i="2"/>
  <c r="X55" i="2"/>
  <c r="Y55" i="2" s="1"/>
  <c r="W56" i="2"/>
  <c r="X56" i="2"/>
  <c r="W57" i="2"/>
  <c r="X57" i="2"/>
  <c r="Y57" i="2" s="1"/>
  <c r="W62" i="2"/>
  <c r="X62" i="2"/>
  <c r="X63" i="2"/>
  <c r="W64" i="2"/>
  <c r="X64" i="2"/>
  <c r="W65" i="2"/>
  <c r="X65" i="2"/>
  <c r="W58" i="2"/>
  <c r="X58" i="2"/>
  <c r="Y58" i="2" s="1"/>
  <c r="J10" i="14" l="1"/>
  <c r="Y64" i="2"/>
  <c r="Y63" i="2"/>
  <c r="Y65" i="2"/>
  <c r="Y62" i="2"/>
  <c r="Z52" i="2"/>
  <c r="AA52" i="2" s="1"/>
  <c r="Z56" i="2"/>
  <c r="AA56" i="2" s="1"/>
  <c r="Z45" i="2"/>
  <c r="AA45" i="2" s="1"/>
  <c r="Z41" i="2"/>
  <c r="AA41" i="2" s="1"/>
  <c r="Z37" i="2"/>
  <c r="AA37" i="2" s="1"/>
  <c r="Z50" i="2"/>
  <c r="AA50" i="2" s="1"/>
  <c r="Y56" i="2"/>
  <c r="Y52" i="2"/>
  <c r="Z47" i="2"/>
  <c r="AA47" i="2" s="1"/>
  <c r="Z46" i="2"/>
  <c r="AA46" i="2" s="1"/>
  <c r="Z39" i="2"/>
  <c r="AA39" i="2" s="1"/>
  <c r="Z62" i="2"/>
  <c r="Z38" i="2"/>
  <c r="AA38" i="2" s="1"/>
  <c r="Z57" i="2"/>
  <c r="AA57" i="2" s="1"/>
  <c r="Z25" i="2"/>
  <c r="AA25" i="2" s="1"/>
  <c r="Z43" i="2"/>
  <c r="AA43" i="2" s="1"/>
  <c r="Y37" i="2"/>
  <c r="Z54" i="2"/>
  <c r="AA54" i="2" s="1"/>
  <c r="Z58" i="2"/>
  <c r="AA58" i="2" s="1"/>
  <c r="Z53" i="2"/>
  <c r="AA53" i="2" s="1"/>
  <c r="Y45" i="2"/>
  <c r="Y41" i="2"/>
  <c r="Z42" i="2"/>
  <c r="AA42" i="2" s="1"/>
  <c r="Z49" i="2"/>
  <c r="AA49" i="2" s="1"/>
  <c r="Z55" i="2"/>
  <c r="AA55" i="2" s="1"/>
  <c r="Z51" i="2"/>
  <c r="AA51" i="2" s="1"/>
  <c r="Z48" i="2"/>
  <c r="AA48" i="2" s="1"/>
  <c r="Z44" i="2"/>
  <c r="AA44" i="2" s="1"/>
  <c r="Z40" i="2"/>
  <c r="AA40" i="2" s="1"/>
  <c r="Z36" i="2"/>
  <c r="AA36" i="2" s="1"/>
  <c r="AA62" i="2" l="1"/>
  <c r="B2" i="14"/>
  <c r="C9" i="14" l="1"/>
  <c r="B9" i="14"/>
  <c r="G8" i="14"/>
  <c r="H8" i="14" s="1"/>
  <c r="F8" i="14"/>
  <c r="E8" i="14"/>
  <c r="L8" i="14" s="1"/>
  <c r="M8" i="14" s="1"/>
  <c r="D8" i="14"/>
  <c r="C8" i="14"/>
  <c r="B8" i="14"/>
  <c r="C7" i="14"/>
  <c r="B7" i="14"/>
  <c r="F6" i="14"/>
  <c r="E6" i="14"/>
  <c r="D6" i="14"/>
  <c r="C6" i="14"/>
  <c r="B6" i="14"/>
  <c r="C5" i="14"/>
  <c r="B5" i="14"/>
  <c r="C4" i="14"/>
  <c r="B4" i="14"/>
  <c r="B3" i="14"/>
  <c r="B10" i="14" l="1"/>
  <c r="S67" i="2" l="1"/>
  <c r="R66" i="2"/>
  <c r="G15" i="18"/>
  <c r="E15" i="18"/>
  <c r="D15" i="18"/>
  <c r="B15" i="18"/>
  <c r="C11" i="18" s="1"/>
  <c r="I11" i="18" s="1"/>
  <c r="J11" i="18" s="1"/>
  <c r="C10" i="18" l="1"/>
  <c r="H10" i="18" s="1"/>
  <c r="H11" i="18"/>
  <c r="K11" i="18"/>
  <c r="C12" i="18"/>
  <c r="C5" i="18"/>
  <c r="C9" i="18"/>
  <c r="I9" i="18" s="1"/>
  <c r="J9" i="18" s="1"/>
  <c r="C14" i="18"/>
  <c r="I14" i="18" s="1"/>
  <c r="J14" i="18" s="1"/>
  <c r="C7" i="18"/>
  <c r="I7" i="18" s="1"/>
  <c r="J7" i="18" s="1"/>
  <c r="C13" i="18"/>
  <c r="I13" i="18" s="1"/>
  <c r="J13" i="18" s="1"/>
  <c r="C3" i="18"/>
  <c r="I3" i="18" s="1"/>
  <c r="J3" i="18" s="1"/>
  <c r="C2" i="18"/>
  <c r="I2" i="18" s="1"/>
  <c r="J2" i="18" s="1"/>
  <c r="C4" i="18"/>
  <c r="I4" i="18" s="1"/>
  <c r="J4" i="18" s="1"/>
  <c r="C6" i="18"/>
  <c r="I6" i="18" s="1"/>
  <c r="J6" i="18" s="1"/>
  <c r="C8" i="18"/>
  <c r="I8" i="18" s="1"/>
  <c r="J8" i="18" s="1"/>
  <c r="F11" i="18"/>
  <c r="H5" i="18" l="1"/>
  <c r="I5" i="18"/>
  <c r="J5" i="18" s="1"/>
  <c r="F10" i="18"/>
  <c r="I10" i="18"/>
  <c r="J10" i="18" s="1"/>
  <c r="F5" i="18"/>
  <c r="F12" i="18"/>
  <c r="I12" i="18"/>
  <c r="J12" i="18" s="1"/>
  <c r="H12" i="18"/>
  <c r="H14" i="18"/>
  <c r="H13" i="18"/>
  <c r="K7" i="18"/>
  <c r="K6" i="18"/>
  <c r="H3" i="18"/>
  <c r="K3" i="18"/>
  <c r="K4" i="18"/>
  <c r="F8" i="18"/>
  <c r="K8" i="18"/>
  <c r="H9" i="18"/>
  <c r="K9" i="18"/>
  <c r="F7" i="18"/>
  <c r="H7" i="18"/>
  <c r="F3" i="18"/>
  <c r="F13" i="18"/>
  <c r="H4" i="18"/>
  <c r="F4" i="18"/>
  <c r="F2" i="18"/>
  <c r="H2" i="18"/>
  <c r="F9" i="18"/>
  <c r="H8" i="18"/>
  <c r="F6" i="18"/>
  <c r="H6" i="18"/>
  <c r="K14" i="18"/>
  <c r="F14" i="18"/>
  <c r="K10" i="18" l="1"/>
  <c r="K12" i="18"/>
  <c r="K5" i="18"/>
  <c r="U3" i="2"/>
  <c r="V3" i="2" s="1"/>
  <c r="U7" i="2"/>
  <c r="U11" i="2"/>
  <c r="V11" i="2" s="1"/>
  <c r="U15" i="2"/>
  <c r="V15" i="2" s="1"/>
  <c r="U19" i="2"/>
  <c r="V19" i="2" s="1"/>
  <c r="U23" i="2"/>
  <c r="V23" i="2" s="1"/>
  <c r="U27" i="2"/>
  <c r="V27" i="2" s="1"/>
  <c r="U31" i="2"/>
  <c r="V31" i="2" s="1"/>
  <c r="U35" i="2"/>
  <c r="V35" i="2" s="1"/>
  <c r="U39" i="2"/>
  <c r="V39" i="2" s="1"/>
  <c r="U43" i="2"/>
  <c r="V43" i="2" s="1"/>
  <c r="U47" i="2"/>
  <c r="V47" i="2" s="1"/>
  <c r="U51" i="2"/>
  <c r="V51" i="2" s="1"/>
  <c r="U55" i="2"/>
  <c r="V55" i="2" s="1"/>
  <c r="U59" i="2"/>
  <c r="V59" i="2" s="1"/>
  <c r="U63" i="2"/>
  <c r="U8" i="2"/>
  <c r="V8" i="2" s="1"/>
  <c r="U20" i="2"/>
  <c r="V20" i="2" s="1"/>
  <c r="U24" i="2"/>
  <c r="V24" i="2" s="1"/>
  <c r="U36" i="2"/>
  <c r="V36" i="2" s="1"/>
  <c r="U48" i="2"/>
  <c r="V48" i="2" s="1"/>
  <c r="U56" i="2"/>
  <c r="V56" i="2" s="1"/>
  <c r="U9" i="2"/>
  <c r="V9" i="2" s="1"/>
  <c r="U17" i="2"/>
  <c r="V17" i="2" s="1"/>
  <c r="U25" i="2"/>
  <c r="V25" i="2" s="1"/>
  <c r="U37" i="2"/>
  <c r="V37" i="2" s="1"/>
  <c r="U49" i="2"/>
  <c r="V49" i="2" s="1"/>
  <c r="U61" i="2"/>
  <c r="V61" i="2" s="1"/>
  <c r="U4" i="2"/>
  <c r="V4" i="2" s="1"/>
  <c r="U16" i="2"/>
  <c r="V16" i="2" s="1"/>
  <c r="U32" i="2"/>
  <c r="V32" i="2" s="1"/>
  <c r="U44" i="2"/>
  <c r="V44" i="2" s="1"/>
  <c r="U60" i="2"/>
  <c r="V60" i="2" s="1"/>
  <c r="U5" i="2"/>
  <c r="V5" i="2" s="1"/>
  <c r="U13" i="2"/>
  <c r="V13" i="2" s="1"/>
  <c r="U29" i="2"/>
  <c r="V29" i="2" s="1"/>
  <c r="U41" i="2"/>
  <c r="V41" i="2" s="1"/>
  <c r="U53" i="2"/>
  <c r="V53" i="2" s="1"/>
  <c r="U6" i="2"/>
  <c r="U10" i="2"/>
  <c r="V10" i="2" s="1"/>
  <c r="U14" i="2"/>
  <c r="V14" i="2" s="1"/>
  <c r="U18" i="2"/>
  <c r="V18" i="2" s="1"/>
  <c r="U22" i="2"/>
  <c r="V22" i="2" s="1"/>
  <c r="U26" i="2"/>
  <c r="V26" i="2" s="1"/>
  <c r="U30" i="2"/>
  <c r="V30" i="2" s="1"/>
  <c r="U34" i="2"/>
  <c r="V34" i="2" s="1"/>
  <c r="U38" i="2"/>
  <c r="V38" i="2" s="1"/>
  <c r="U42" i="2"/>
  <c r="V42" i="2" s="1"/>
  <c r="U46" i="2"/>
  <c r="V46" i="2" s="1"/>
  <c r="U50" i="2"/>
  <c r="V50" i="2" s="1"/>
  <c r="U54" i="2"/>
  <c r="V54" i="2" s="1"/>
  <c r="U58" i="2"/>
  <c r="V58" i="2" s="1"/>
  <c r="U62" i="2"/>
  <c r="U2" i="2"/>
  <c r="U12" i="2"/>
  <c r="V12" i="2" s="1"/>
  <c r="U28" i="2"/>
  <c r="V28" i="2" s="1"/>
  <c r="U40" i="2"/>
  <c r="V40" i="2" s="1"/>
  <c r="U52" i="2"/>
  <c r="V52" i="2" s="1"/>
  <c r="U64" i="2"/>
  <c r="V64" i="2" s="1"/>
  <c r="U21" i="2"/>
  <c r="V21" i="2" s="1"/>
  <c r="U33" i="2"/>
  <c r="V33" i="2" s="1"/>
  <c r="U45" i="2"/>
  <c r="V45" i="2" s="1"/>
  <c r="U57" i="2"/>
  <c r="V57" i="2" s="1"/>
  <c r="U65" i="2"/>
  <c r="I15" i="18"/>
  <c r="K2" i="18"/>
  <c r="K13" i="18"/>
  <c r="V2" i="2" l="1"/>
  <c r="I2" i="14" s="1"/>
  <c r="V7" i="2"/>
  <c r="I9" i="14" s="1"/>
  <c r="N9" i="14" s="1"/>
  <c r="O9" i="14" s="1"/>
  <c r="V62" i="2"/>
  <c r="I4" i="14" s="1"/>
  <c r="N4" i="14" s="1"/>
  <c r="O4" i="14" s="1"/>
  <c r="V65" i="2"/>
  <c r="I7" i="14" s="1"/>
  <c r="N7" i="14" s="1"/>
  <c r="O7" i="14" s="1"/>
  <c r="V63" i="2"/>
  <c r="I6" i="14" s="1"/>
  <c r="N6" i="14" s="1"/>
  <c r="O6" i="14" s="1"/>
  <c r="V6" i="2"/>
  <c r="I3" i="14" s="1"/>
  <c r="N3" i="14" s="1"/>
  <c r="O3" i="14" s="1"/>
  <c r="K15" i="18"/>
  <c r="J15" i="18"/>
  <c r="W29" i="2"/>
  <c r="N2" i="14" l="1"/>
  <c r="O2" i="14" s="1"/>
  <c r="K3" i="14"/>
  <c r="K7" i="14"/>
  <c r="K9" i="14"/>
  <c r="K6" i="14"/>
  <c r="L6" i="14" s="1"/>
  <c r="M6" i="14" s="1"/>
  <c r="K4" i="14"/>
  <c r="K2" i="14"/>
  <c r="W32" i="2"/>
  <c r="W12" i="2"/>
  <c r="W26" i="2"/>
  <c r="W28" i="2"/>
  <c r="W27" i="2"/>
  <c r="W20" i="2"/>
  <c r="W8" i="2"/>
  <c r="W24" i="2"/>
  <c r="W23" i="2"/>
  <c r="E7" i="14" s="1"/>
  <c r="W22" i="2"/>
  <c r="L7" i="14" l="1"/>
  <c r="M7" i="14" s="1"/>
  <c r="K10" i="14"/>
  <c r="X2" i="2"/>
  <c r="Y2" i="2" l="1"/>
  <c r="W30" i="2"/>
  <c r="E4" i="14"/>
  <c r="L4" i="14" s="1"/>
  <c r="M4" i="14" s="1"/>
  <c r="W33" i="2"/>
  <c r="W31" i="2"/>
  <c r="W16" i="2"/>
  <c r="W13" i="2"/>
  <c r="W5" i="2"/>
  <c r="W15" i="2"/>
  <c r="W14" i="2"/>
  <c r="W11" i="2"/>
  <c r="W7" i="2"/>
  <c r="W17" i="2"/>
  <c r="W18" i="2"/>
  <c r="W21" i="2"/>
  <c r="E5" i="14" s="1"/>
  <c r="L5" i="14" s="1"/>
  <c r="M5" i="14" s="1"/>
  <c r="W19" i="2"/>
  <c r="W10" i="2"/>
  <c r="W9" i="2"/>
  <c r="W6" i="2"/>
  <c r="W4" i="2"/>
  <c r="W35" i="2" l="1"/>
  <c r="W3" i="2"/>
  <c r="E3" i="14" s="1"/>
  <c r="L3" i="14" s="1"/>
  <c r="M3" i="14" s="1"/>
  <c r="W34" i="2"/>
  <c r="W2" i="2"/>
  <c r="E9" i="14" l="1"/>
  <c r="L9" i="14" s="1"/>
  <c r="M9" i="14" s="1"/>
  <c r="E2" i="14"/>
  <c r="L2" i="14" s="1"/>
  <c r="M2" i="14" s="1"/>
  <c r="Z2" i="2"/>
  <c r="E10" i="14" l="1"/>
  <c r="W66" i="2" s="1"/>
  <c r="AA2" i="2"/>
  <c r="X34" i="2" l="1"/>
  <c r="Z34" i="2" s="1"/>
  <c r="X3" i="2"/>
  <c r="Z3" i="2" l="1"/>
  <c r="Y3" i="2"/>
  <c r="X4" i="2"/>
  <c r="Y34" i="2"/>
  <c r="X35" i="2"/>
  <c r="Z4" i="2" l="1"/>
  <c r="AA4" i="2" s="1"/>
  <c r="AA34" i="2"/>
  <c r="X5" i="2"/>
  <c r="Y4" i="2"/>
  <c r="AA3" i="2"/>
  <c r="Y35" i="2"/>
  <c r="D2" i="14" l="1"/>
  <c r="Z5" i="2"/>
  <c r="Y5" i="2"/>
  <c r="F2" i="14" s="1"/>
  <c r="G2" i="14" l="1"/>
  <c r="H2" i="14" s="1"/>
  <c r="AA5" i="2"/>
  <c r="X7" i="2"/>
  <c r="Z7" i="2" l="1"/>
  <c r="X18" i="2"/>
  <c r="Y7" i="2"/>
  <c r="Z18" i="2" l="1"/>
  <c r="AA18" i="2" s="1"/>
  <c r="AA7" i="2"/>
  <c r="Y18" i="2"/>
  <c r="X9" i="2"/>
  <c r="Z9" i="2" l="1"/>
  <c r="X10" i="2"/>
  <c r="Y9" i="2"/>
  <c r="Z10" i="2" l="1"/>
  <c r="AA10" i="2" s="1"/>
  <c r="Y10" i="2"/>
  <c r="AA9" i="2"/>
  <c r="X11" i="2"/>
  <c r="Z11" i="2" s="1"/>
  <c r="Y11" i="2" l="1"/>
  <c r="AA11" i="2"/>
  <c r="X19" i="2"/>
  <c r="Z19" i="2" s="1"/>
  <c r="X13" i="2" l="1"/>
  <c r="Z13" i="2" s="1"/>
  <c r="Y19" i="2"/>
  <c r="AA19" i="2"/>
  <c r="Y13" i="2" l="1"/>
  <c r="AA13" i="2"/>
  <c r="X14" i="2"/>
  <c r="Z14" i="2" s="1"/>
  <c r="X15" i="2" l="1"/>
  <c r="Z15" i="2" s="1"/>
  <c r="Y14" i="2"/>
  <c r="AA14" i="2"/>
  <c r="Y15" i="2" l="1"/>
  <c r="AA15" i="2"/>
  <c r="X16" i="2"/>
  <c r="Z16" i="2" s="1"/>
  <c r="X17" i="2" l="1"/>
  <c r="Z17" i="2" s="1"/>
  <c r="Y16" i="2"/>
  <c r="AA16" i="2"/>
  <c r="Y17" i="2" l="1"/>
  <c r="AA17" i="2"/>
  <c r="X31" i="2"/>
  <c r="Z31" i="2" s="1"/>
  <c r="X33" i="2" l="1"/>
  <c r="Z33" i="2" s="1"/>
  <c r="Y31" i="2"/>
  <c r="AA31" i="2"/>
  <c r="Y33" i="2" l="1"/>
  <c r="AA33" i="2"/>
  <c r="G4" i="14" l="1"/>
  <c r="H4" i="14" s="1"/>
  <c r="D4" i="14"/>
  <c r="X21" i="2"/>
  <c r="F4" i="14"/>
  <c r="Z21" i="2" l="1"/>
  <c r="AA21" i="2" s="1"/>
  <c r="D5" i="14"/>
  <c r="Y21" i="2"/>
  <c r="X22" i="2"/>
  <c r="Z22" i="2" s="1"/>
  <c r="F5" i="14" l="1"/>
  <c r="X23" i="2"/>
  <c r="AA22" i="2"/>
  <c r="Y22" i="2"/>
  <c r="Z23" i="2" l="1"/>
  <c r="AA23" i="2" s="1"/>
  <c r="D7" i="14"/>
  <c r="Y23" i="2"/>
  <c r="F7" i="14" s="1"/>
  <c r="X24" i="2"/>
  <c r="Z24" i="2" s="1"/>
  <c r="X8" i="2" l="1"/>
  <c r="AA24" i="2"/>
  <c r="Y24" i="2"/>
  <c r="Z8" i="2" l="1"/>
  <c r="AA8" i="2" s="1"/>
  <c r="Y8" i="2"/>
  <c r="X20" i="2"/>
  <c r="Z20" i="2" s="1"/>
  <c r="X27" i="2" l="1"/>
  <c r="AA20" i="2"/>
  <c r="Y20" i="2"/>
  <c r="Z27" i="2" l="1"/>
  <c r="AA27" i="2" s="1"/>
  <c r="Y27" i="2"/>
  <c r="X28" i="2"/>
  <c r="Z28" i="2" s="1"/>
  <c r="X29" i="2" l="1"/>
  <c r="Y28" i="2"/>
  <c r="AA28" i="2"/>
  <c r="Z29" i="2" l="1"/>
  <c r="AA29" i="2" s="1"/>
  <c r="Y29" i="2"/>
  <c r="X26" i="2"/>
  <c r="Z26" i="2" s="1"/>
  <c r="X12" i="2" l="1"/>
  <c r="Y26" i="2"/>
  <c r="AA26" i="2"/>
  <c r="Z12" i="2" l="1"/>
  <c r="Y12" i="2"/>
  <c r="X32" i="2"/>
  <c r="Z32" i="2" s="1"/>
  <c r="AA12" i="2" l="1"/>
  <c r="X30" i="2"/>
  <c r="AA32" i="2"/>
  <c r="Y32" i="2"/>
  <c r="D9" i="14" l="1"/>
  <c r="Z30" i="2"/>
  <c r="Y30" i="2"/>
  <c r="F9" i="14" l="1"/>
  <c r="AA30" i="2"/>
  <c r="Z35" i="2" l="1"/>
  <c r="G5" i="14" s="1"/>
  <c r="H5" i="14" s="1"/>
  <c r="AA35" i="2" l="1"/>
  <c r="G9" i="14" l="1"/>
  <c r="H9" i="14" s="1"/>
  <c r="C3" i="14" l="1"/>
  <c r="X6" i="2"/>
  <c r="D3" i="14" l="1"/>
  <c r="D10" i="14" s="1"/>
  <c r="Y6" i="2"/>
  <c r="B13" i="14" l="1"/>
  <c r="X66" i="2"/>
  <c r="X68" i="2" s="1"/>
  <c r="F3" i="14"/>
  <c r="F10" i="14" s="1"/>
  <c r="Y66" i="2" s="1"/>
  <c r="X75" i="2" l="1"/>
  <c r="X76" i="2" s="1"/>
  <c r="X69" i="2"/>
  <c r="X77" i="2" l="1"/>
  <c r="X78" i="2" s="1"/>
  <c r="X80" i="2" l="1"/>
  <c r="X79" i="2"/>
  <c r="Z63" i="2"/>
  <c r="AA63" i="2" l="1"/>
  <c r="J70" i="2"/>
  <c r="Z6" i="2"/>
  <c r="J69" i="2"/>
  <c r="Z64" i="2"/>
  <c r="AA64" i="2" s="1"/>
  <c r="J68" i="2"/>
  <c r="Z65" i="2"/>
  <c r="Z66" i="2" l="1"/>
  <c r="G6" i="14"/>
  <c r="H6" i="14" s="1"/>
  <c r="J71" i="2"/>
  <c r="H10" i="17" s="1"/>
  <c r="G3" i="14"/>
  <c r="H3" i="14" s="1"/>
  <c r="AA6" i="2"/>
  <c r="AA65" i="2"/>
  <c r="G7" i="14"/>
  <c r="H7" i="14" s="1"/>
  <c r="B14" i="14" l="1"/>
  <c r="B15" i="14" s="1"/>
  <c r="X70" i="2"/>
  <c r="X72" i="2" s="1"/>
  <c r="B16" i="14" l="1"/>
  <c r="B17" i="14"/>
  <c r="X71" i="2"/>
  <c r="T61" i="2" l="1"/>
  <c r="T35" i="2"/>
  <c r="T30" i="2"/>
  <c r="T57" i="2"/>
  <c r="T9" i="2"/>
  <c r="T64" i="2"/>
  <c r="T33" i="2"/>
  <c r="T46" i="2"/>
  <c r="T54" i="2"/>
  <c r="T23" i="2"/>
  <c r="T51" i="2"/>
  <c r="T45" i="2"/>
  <c r="T55" i="2"/>
  <c r="T36" i="2"/>
  <c r="T8" i="2"/>
  <c r="T24" i="2"/>
  <c r="T44" i="2"/>
  <c r="T47" i="2"/>
  <c r="T6" i="2"/>
  <c r="T16" i="2"/>
  <c r="T42" i="2"/>
  <c r="T27" i="2"/>
  <c r="T34" i="2"/>
  <c r="T58" i="2"/>
  <c r="T14" i="2"/>
  <c r="T49" i="2"/>
  <c r="T65" i="2"/>
  <c r="T28" i="2"/>
  <c r="T13" i="2"/>
  <c r="T4" i="2"/>
  <c r="T40" i="2"/>
  <c r="T26" i="2"/>
  <c r="T12" i="2"/>
  <c r="T52" i="2"/>
  <c r="T50" i="2"/>
  <c r="T31" i="2"/>
  <c r="T20" i="2"/>
  <c r="T22" i="2"/>
  <c r="T21" i="2"/>
  <c r="T63" i="2"/>
  <c r="T39" i="2"/>
  <c r="T59" i="2"/>
  <c r="T62" i="2"/>
  <c r="T19" i="2"/>
  <c r="T53" i="2"/>
  <c r="T17" i="2"/>
  <c r="T15" i="2"/>
  <c r="T11" i="2"/>
  <c r="T5" i="2"/>
  <c r="T18" i="2"/>
  <c r="T56" i="2"/>
  <c r="T38" i="2"/>
  <c r="T48" i="2"/>
  <c r="T29" i="2"/>
  <c r="T32" i="2"/>
  <c r="T25" i="2"/>
  <c r="T2" i="2"/>
  <c r="T60" i="2"/>
  <c r="T10" i="2"/>
  <c r="T41" i="2"/>
  <c r="T7" i="2"/>
  <c r="T3" i="2"/>
  <c r="T37" i="2"/>
  <c r="T4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Anthony,Alan (HHSC)</author>
  </authors>
  <commentList>
    <comment ref="S2" authorId="0" shapeId="0" xr:uid="{00000000-0006-0000-0100-000001000000}">
      <text>
        <r>
          <rPr>
            <b/>
            <sz val="9"/>
            <color indexed="81"/>
            <rFont val="Tahoma"/>
            <family val="2"/>
          </rPr>
          <t>Anthony,Alan (HHSC):</t>
        </r>
        <r>
          <rPr>
            <sz val="9"/>
            <color indexed="81"/>
            <rFont val="Tahoma"/>
            <family val="2"/>
          </rPr>
          <t xml:space="preserve">
Adjusted rate to comply with increase not exceeding 95% of the shortfall</t>
        </r>
      </text>
    </comment>
    <comment ref="R4" authorId="0" shapeId="0" xr:uid="{00000000-0006-0000-0100-000002000000}">
      <text>
        <r>
          <rPr>
            <b/>
            <sz val="9"/>
            <color indexed="81"/>
            <rFont val="Tahoma"/>
            <family val="2"/>
          </rPr>
          <t>Anthony,Alan (HHSC):</t>
        </r>
        <r>
          <rPr>
            <sz val="9"/>
            <color indexed="81"/>
            <rFont val="Tahoma"/>
            <family val="2"/>
          </rPr>
          <t xml:space="preserve">
More recent shortfall used (no inflator)</t>
        </r>
      </text>
    </comment>
    <comment ref="R58" authorId="0" shapeId="0" xr:uid="{00000000-0006-0000-0100-000003000000}">
      <text>
        <r>
          <rPr>
            <b/>
            <sz val="9"/>
            <color indexed="81"/>
            <rFont val="Tahoma"/>
            <family val="2"/>
          </rPr>
          <t>Anthony,Alan (HHSC):</t>
        </r>
        <r>
          <rPr>
            <sz val="9"/>
            <color indexed="81"/>
            <rFont val="Tahoma"/>
            <family val="2"/>
          </rPr>
          <t xml:space="preserve">
Different inflator was used because a 2017 shortfall was used.</t>
        </r>
      </text>
    </comment>
  </commentList>
</comments>
</file>

<file path=xl/sharedStrings.xml><?xml version="1.0" encoding="utf-8"?>
<sst xmlns="http://schemas.openxmlformats.org/spreadsheetml/2006/main" count="1067" uniqueCount="428">
  <si>
    <t>TPI</t>
  </si>
  <si>
    <t>CCN</t>
  </si>
  <si>
    <t>NPI</t>
  </si>
  <si>
    <t>Hospital Contact</t>
  </si>
  <si>
    <t>Provider Name</t>
  </si>
  <si>
    <t>Hospital Contact Email</t>
  </si>
  <si>
    <t>Hospital Phone Number</t>
  </si>
  <si>
    <t>Hospital Class</t>
  </si>
  <si>
    <t>County</t>
  </si>
  <si>
    <t>Managed Care Service Area</t>
  </si>
  <si>
    <t>IP MCO Payments</t>
  </si>
  <si>
    <t>OP MCO Payments</t>
  </si>
  <si>
    <t>SDA Increase Percentage</t>
  </si>
  <si>
    <t>95% of Medicaid Shortfall</t>
  </si>
  <si>
    <t>Requested Payment Increase</t>
  </si>
  <si>
    <t>Amount Payment is over 95% of Medicaid Shortfall (Full IGT Adjustment)</t>
  </si>
  <si>
    <t>Does Increase Cover More than 95% of Medicaid Shortfall? (Self IGT Adjustment)</t>
  </si>
  <si>
    <t>Children's</t>
  </si>
  <si>
    <t>Tarrant</t>
  </si>
  <si>
    <t xml:space="preserve">David Salsberry </t>
  </si>
  <si>
    <t>Other</t>
  </si>
  <si>
    <t>Craig Bjerke</t>
  </si>
  <si>
    <t>craigbjerke@mhd.com</t>
  </si>
  <si>
    <t>Katie.Shuey@encompasshealth.com</t>
  </si>
  <si>
    <t>Rural Private</t>
  </si>
  <si>
    <t>Rural Public</t>
  </si>
  <si>
    <t>Urban Public</t>
  </si>
  <si>
    <t>Total</t>
  </si>
  <si>
    <t>MCO Name</t>
  </si>
  <si>
    <t>MCO Service Delivery Area</t>
  </si>
  <si>
    <t>Contacted?</t>
  </si>
  <si>
    <t>Agrees to Participate?</t>
  </si>
  <si>
    <t>SDA</t>
  </si>
  <si>
    <t>Bexar</t>
  </si>
  <si>
    <t>Dallas</t>
  </si>
  <si>
    <t>El Paso</t>
  </si>
  <si>
    <t>Harris</t>
  </si>
  <si>
    <t>Hidalgo</t>
  </si>
  <si>
    <t>Jefferson</t>
  </si>
  <si>
    <t>Lubbock</t>
  </si>
  <si>
    <t>MRSA Central</t>
  </si>
  <si>
    <t>MRSA Northeast</t>
  </si>
  <si>
    <t>MRSA West</t>
  </si>
  <si>
    <t>Nueces</t>
  </si>
  <si>
    <t>Travis</t>
  </si>
  <si>
    <t>Totals</t>
  </si>
  <si>
    <r>
      <t xml:space="preserve">2 </t>
    </r>
    <r>
      <rPr>
        <sz val="9"/>
        <color rgb="FF000000"/>
        <rFont val="Arial"/>
        <family val="2"/>
      </rPr>
      <t>Neither the 10% holdback nor the ACA health insurance premium fee are applied to the budget neutrality cap.</t>
    </r>
  </si>
  <si>
    <t>Yes</t>
  </si>
  <si>
    <t>Modified SDA Increase Percentage based on IGT sufficiency</t>
  </si>
  <si>
    <t>Modified SDA Increase Percentage based on BN Availability and Actuarial Forecast (Final Increase)</t>
  </si>
  <si>
    <t>Cutback to comply with BN (prior to Actuarial adjustments)</t>
  </si>
  <si>
    <t>Cutback to comply with BN (after Actuarial adjustments)</t>
  </si>
  <si>
    <t>IGT Commitment less 10% contingency and MCO costs</t>
  </si>
  <si>
    <t>Annual $ Increase</t>
  </si>
  <si>
    <t>All Funds Payment supported by IGT</t>
  </si>
  <si>
    <t>Does IGT support requested increase?</t>
  </si>
  <si>
    <t>If IGT is insufficient, amount of rate increase does IGT support</t>
  </si>
  <si>
    <t>IGT Commitment including 10% and MCO costs for 6 months</t>
  </si>
  <si>
    <t>Actuarial Forecast for 2019</t>
  </si>
  <si>
    <r>
      <t>1</t>
    </r>
    <r>
      <rPr>
        <sz val="8"/>
        <color indexed="8"/>
        <rFont val="Arial"/>
        <family val="2"/>
      </rPr>
      <t xml:space="preserve">The estimated shortfall does not include the Medicaid Shortfall for non-DSH/non-UC providers or providers for which HHSC does not have Medicaid Shortfall information. The Medicaid Shortfall of all providers in an SDA will be used to finalize the budget neutrality allotment in the completed application . </t>
    </r>
  </si>
  <si>
    <t>Percentage Increase</t>
  </si>
  <si>
    <t>Initial</t>
  </si>
  <si>
    <t>Final</t>
  </si>
  <si>
    <t>Organization</t>
  </si>
  <si>
    <t>Hospital Receives</t>
  </si>
  <si>
    <t>MCO Retains</t>
  </si>
  <si>
    <t>Childrens</t>
  </si>
  <si>
    <t>Institution for Mental Disease</t>
  </si>
  <si>
    <t>Non-Urban Public</t>
  </si>
  <si>
    <t>State-Owned</t>
  </si>
  <si>
    <t>MCO Contact Name</t>
  </si>
  <si>
    <t>Telephone Number</t>
  </si>
  <si>
    <t>Email</t>
  </si>
  <si>
    <t>Address</t>
  </si>
  <si>
    <t>UHRIP Participation Yes or No</t>
  </si>
  <si>
    <t>Class</t>
  </si>
  <si>
    <t>IMD</t>
  </si>
  <si>
    <t>Does Increase Cover More than 95% of Medicaid Shortfall? (Full IGT Adjustment)</t>
  </si>
  <si>
    <t>-</t>
  </si>
  <si>
    <t>Medicaid Shortfall Inflated to 2018</t>
  </si>
  <si>
    <t>DSH/UC Participant</t>
  </si>
  <si>
    <t>IGT Funding Provided</t>
  </si>
  <si>
    <r>
      <t>Estimated 2018 Medicaid Shortfall (modifed)</t>
    </r>
    <r>
      <rPr>
        <b/>
        <vertAlign val="superscript"/>
        <sz val="11"/>
        <color theme="1"/>
        <rFont val="Calibri"/>
        <family val="2"/>
        <scheme val="minor"/>
      </rPr>
      <t>1</t>
    </r>
  </si>
  <si>
    <t>BN Allocation per SDA for SFY 2020</t>
  </si>
  <si>
    <t>IGT commitment</t>
  </si>
  <si>
    <t>No</t>
  </si>
  <si>
    <t>138910807</t>
  </si>
  <si>
    <t>1194743013</t>
  </si>
  <si>
    <t>CHILDRENS MEDICAL CENTER OF DALLAS-CHILDRENS MEDICAL CENTER</t>
  </si>
  <si>
    <t>Angelique Hemstreet</t>
  </si>
  <si>
    <t>angelique.hemstreet@childrens.com</t>
  </si>
  <si>
    <t>315440301</t>
  </si>
  <si>
    <t>1760628184</t>
  </si>
  <si>
    <t>TEXAS SCOTTISH RITE HOSPITAL FOR CRIPPLED CHILDREN</t>
  </si>
  <si>
    <t>Bill Huston</t>
  </si>
  <si>
    <t>Bill.Huston@tsrh.org</t>
  </si>
  <si>
    <t>354178101</t>
  </si>
  <si>
    <t>1720480627</t>
  </si>
  <si>
    <t>CHILDRENS MEDICAL CENTER OF DALLAS-CHILDREN'S MEDICAL CENTER PLANO</t>
  </si>
  <si>
    <t>Collin</t>
  </si>
  <si>
    <t>358963201</t>
  </si>
  <si>
    <t>1255708715</t>
  </si>
  <si>
    <t>OCH HOLDINGS-OUR CHILDREN'S HOUSE</t>
  </si>
  <si>
    <t>131038504</t>
  </si>
  <si>
    <t>1598750721</t>
  </si>
  <si>
    <t>HUNT MEMORIAL HOSPITAL DISTRICT-HUNT REGIONAL MEDICAL CENTER</t>
  </si>
  <si>
    <t>Lee Boles</t>
  </si>
  <si>
    <t>lboles@huntregional.org</t>
  </si>
  <si>
    <t>Hunt</t>
  </si>
  <si>
    <t>020982701</t>
  </si>
  <si>
    <t>1548291883</t>
  </si>
  <si>
    <t>TEXAS HEALTH PRESBYTERIAN HOSPITAL ALLEN</t>
  </si>
  <si>
    <t>davidsalsberry@texashealth.org</t>
  </si>
  <si>
    <t>021001501</t>
  </si>
  <si>
    <t>1699844654</t>
  </si>
  <si>
    <t>KINDRED HOSPITALS LIMITED PARTNERSHIP-KINDRED HOSPITAL- DALLAS</t>
  </si>
  <si>
    <t>094159302</t>
  </si>
  <si>
    <t>1386647717</t>
  </si>
  <si>
    <t>MSH PARTNERS LLC-BAYLOR MEDICAL CENTER AT UPTOWN</t>
  </si>
  <si>
    <t xml:space="preserve">Bill Galinsky </t>
  </si>
  <si>
    <t>William.Galinsky@BSWHealth.org</t>
  </si>
  <si>
    <t>121776205</t>
  </si>
  <si>
    <t>1992700983</t>
  </si>
  <si>
    <t>BAYLOR MEDICAL CENTER AT IRVING</t>
  </si>
  <si>
    <t>121822403</t>
  </si>
  <si>
    <t>1700805678</t>
  </si>
  <si>
    <t>PRHC ENNIS LP-ENNIS REGIONAL MEDICAL CENTER</t>
  </si>
  <si>
    <t>Jack Wilcox</t>
  </si>
  <si>
    <t>Jack.Wilcox@lpnt.net</t>
  </si>
  <si>
    <t>Ellis</t>
  </si>
  <si>
    <t>149633301</t>
  </si>
  <si>
    <t>1821167818</t>
  </si>
  <si>
    <t>KINDRED HOSPITALS LIMITED PARTNERSHIP-KINDRED HOSPITAL-WHITE ROCK</t>
  </si>
  <si>
    <t>151691601</t>
  </si>
  <si>
    <t>1609855139</t>
  </si>
  <si>
    <t>BAYLOR HEART AND VASCULAR CENTER</t>
  </si>
  <si>
    <t>157144001</t>
  </si>
  <si>
    <t>1922002674</t>
  </si>
  <si>
    <t>FRISCO MEDICAL CENTER-BAYLOR SCOTT &amp; WHITE MEDICAL CENTER - FRISCO</t>
  </si>
  <si>
    <t>163936101</t>
  </si>
  <si>
    <t>1669569984</t>
  </si>
  <si>
    <t>IRVING COPPELL SURGICAL HOSPITAL LLP-IRVING-COPPELL SURGICAL HOSPITAL LLP</t>
  </si>
  <si>
    <t>185556101</t>
  </si>
  <si>
    <t>1962504340</t>
  </si>
  <si>
    <t>TEXAS HEART HOSPITAL OF THE SOUTHWEST LLP-BAYLOR SCOTT &amp; WHITE THE HEART HOSPITAL PLANO</t>
  </si>
  <si>
    <t>193399601</t>
  </si>
  <si>
    <t>1629138029</t>
  </si>
  <si>
    <t>ROCKWALL REGIONAL HOSPITAL LLC-TEXAS HEALTH PRESBYTERIAN HOSPITAL ROCKWALL</t>
  </si>
  <si>
    <t>Jason Linscott</t>
  </si>
  <si>
    <t>Jason.Linscott@phrtexas.com</t>
  </si>
  <si>
    <t>Rockwall</t>
  </si>
  <si>
    <t>194036301</t>
  </si>
  <si>
    <t>1063411239</t>
  </si>
  <si>
    <t>SELECT SPECIALTY HOSPITAL DALLAS INC-DALLAS SPECIALTY HOSPITAL DALLAS INC</t>
  </si>
  <si>
    <t>197976701</t>
  </si>
  <si>
    <t>1477507432</t>
  </si>
  <si>
    <t>VIBRA SPECIALTY HOSPITAL OF DALLAS LLC-VIBRA HOSPITAL OF RICHARDSON</t>
  </si>
  <si>
    <t>209345201</t>
  </si>
  <si>
    <t>1033165501</t>
  </si>
  <si>
    <t>METHODIST HOSPITALS OF DALLAS-METHODIST RICHARDSON MEDICAL CENTER</t>
  </si>
  <si>
    <t>209719801</t>
  </si>
  <si>
    <t>1255579389</t>
  </si>
  <si>
    <t>TEXAS REGIONAL MEDICAL CENTER LTD-TEXAS REGIONAL MEDICAL CENTER AT SUNNYVALE</t>
  </si>
  <si>
    <t>Diana Strupp</t>
  </si>
  <si>
    <t>Diana.Strupp@tenethealth.com</t>
  </si>
  <si>
    <t>218319601</t>
  </si>
  <si>
    <t>1831146331</t>
  </si>
  <si>
    <t>MESQUITE SPECIALTY HOSPITAL LP</t>
  </si>
  <si>
    <t>Crystal West</t>
  </si>
  <si>
    <t>crystalwest@ernesthealth.com</t>
  </si>
  <si>
    <t>314161601</t>
  </si>
  <si>
    <t>1124305065</t>
  </si>
  <si>
    <t>BAYLOR MEDICAL CENTERS AT GARLAND AND MCKINNEY-BAYLOR SCOTT AND WHITE MEDICAL CENTER - MCKINNEY</t>
  </si>
  <si>
    <t>1356559991</t>
  </si>
  <si>
    <t>DALLAS LTACH LLC-KINDRED HOSPITAL DALLAS CENTRAL</t>
  </si>
  <si>
    <t>328934001</t>
  </si>
  <si>
    <t>1952538431</t>
  </si>
  <si>
    <t>METHODIST MCKINNEY HOSPITAL LLC</t>
  </si>
  <si>
    <t>331172201</t>
  </si>
  <si>
    <t>1023451077</t>
  </si>
  <si>
    <t>NEW LIFECARE HOSPITALS OF NORTH TEXAS LLC</t>
  </si>
  <si>
    <t>Chris Walker</t>
  </si>
  <si>
    <t>Chris.walker@LifeCare-Hospitals.com</t>
  </si>
  <si>
    <t>331242301</t>
  </si>
  <si>
    <t>1851632616</t>
  </si>
  <si>
    <t>LANCASTER REGIONAL HOSPITAL LP</t>
  </si>
  <si>
    <t xml:space="preserve">Becky Speight </t>
  </si>
  <si>
    <t>beckyspeight@cmclancaster.com</t>
  </si>
  <si>
    <t> 972-230-8888</t>
  </si>
  <si>
    <t>340716501</t>
  </si>
  <si>
    <t>1902237431</t>
  </si>
  <si>
    <t>PROMISE HOSPITAL OF DALLAS INC</t>
  </si>
  <si>
    <t>343467201</t>
  </si>
  <si>
    <t>1659374585</t>
  </si>
  <si>
    <t>PINE CREEK MEDICAL CENTER, LLC</t>
  </si>
  <si>
    <t>343799801</t>
  </si>
  <si>
    <t>1952732653</t>
  </si>
  <si>
    <t>EBD BEMC ROCKWALL, LLC-BAYLOR EMERGENCY MEDICAL CENTER</t>
  </si>
  <si>
    <t>354160901</t>
  </si>
  <si>
    <t>1336533595</t>
  </si>
  <si>
    <t>FIRST TEXAS HOSPITAL CARROLLTON LLC</t>
  </si>
  <si>
    <t>358597801</t>
  </si>
  <si>
    <t>1184029811</t>
  </si>
  <si>
    <t>SELECT SPECIALITY HOSPITALDALLAS, INC</t>
  </si>
  <si>
    <t>169553801</t>
  </si>
  <si>
    <t>1801826839</t>
  </si>
  <si>
    <t>BAYLOR SCOTT &amp; WHITE MEDICAL CENTER  CENTENNIAL</t>
  </si>
  <si>
    <t>020908201</t>
  </si>
  <si>
    <t>1396779948</t>
  </si>
  <si>
    <t>TEXAS PRESBYTERIAN HOSPITAL OF DALLAS</t>
  </si>
  <si>
    <t>020943901</t>
  </si>
  <si>
    <t>1689628984</t>
  </si>
  <si>
    <t>COLUMBIA HOSPITAL MEDICAL CITY DALLAS, SUBSIDIARY-COLUMBIA HOSPITAL AT MEDICAL C</t>
  </si>
  <si>
    <t>020966001</t>
  </si>
  <si>
    <t>1205018439</t>
  </si>
  <si>
    <t>LAKE POINTE MEDICAL CENTER-BAYLOR SCOTT &amp; WHITE MEDICAL CENTER LAKE POINTE</t>
  </si>
  <si>
    <t>020979302</t>
  </si>
  <si>
    <t>1902857766</t>
  </si>
  <si>
    <t>COLUMBIA MEDICAL CENTER OF LAS COLINAS, INC-LAS COLINAS MEDICAL CENTER</t>
  </si>
  <si>
    <t>094140302</t>
  </si>
  <si>
    <t>1457382798</t>
  </si>
  <si>
    <t>TEXAS HEALTH PRESBYTERIAN HOSPITAL KAUFMAN</t>
  </si>
  <si>
    <t>Kaufman</t>
  </si>
  <si>
    <t>094207002</t>
  </si>
  <si>
    <t>1770514077</t>
  </si>
  <si>
    <t>TEXAS HEALTH PRESBYTERIAN HOSPTAL PLANO</t>
  </si>
  <si>
    <t>112698903</t>
  </si>
  <si>
    <t>1437102639</t>
  </si>
  <si>
    <t>COLUMBIA MEDICAL CENTER OF MCKINNEY SUBSIDIARY LP-MEDICAL CENTER OF MCKINNEY</t>
  </si>
  <si>
    <t>126679303</t>
  </si>
  <si>
    <t>1275592131</t>
  </si>
  <si>
    <t>METHODIST HOSPITAL OF DALLAS-METHODIST CHARLTON MEDICAL CENTER</t>
  </si>
  <si>
    <t>127311205</t>
  </si>
  <si>
    <t>1699726406</t>
  </si>
  <si>
    <t>COLUMBIA MEDICAL CENTER OF PLANO LP-MEDICAL CENTER OF PLANO</t>
  </si>
  <si>
    <t>135032405</t>
  </si>
  <si>
    <t>1528027786</t>
  </si>
  <si>
    <t>METHODIST HOSPITALS OF DALLAS-METHODIST DALLAS MEDICAL CENTER</t>
  </si>
  <si>
    <t>135223905</t>
  </si>
  <si>
    <t>1265430177</t>
  </si>
  <si>
    <t>BAYLOR MEDICAL CENTER AT WAXAHACHIE</t>
  </si>
  <si>
    <t>139485012</t>
  </si>
  <si>
    <t>1447250253</t>
  </si>
  <si>
    <t>BAYLOR UNIVERSITY MEDICAL CENTER</t>
  </si>
  <si>
    <t>171848805</t>
  </si>
  <si>
    <t>1649273434</t>
  </si>
  <si>
    <t>BAYLOR REGIONAL MEDICAL CENTER AT PLANO</t>
  </si>
  <si>
    <t>173574801</t>
  </si>
  <si>
    <t>1245201656</t>
  </si>
  <si>
    <t>TEXAS INSTITUTE FOR SURGERY LLP-TEXAS INSTITUTE FOR SURGERY AT TEXAS HEALTH PRESBY</t>
  </si>
  <si>
    <t>174662001</t>
  </si>
  <si>
    <t>1316933609</t>
  </si>
  <si>
    <t>PHYSICIANS MEDICAL CENTER LLC-TEXAS HEALTH CENTER FOR DIAGNOSTICS AND SURGERY PL</t>
  </si>
  <si>
    <t>185964702</t>
  </si>
  <si>
    <t>1548236524</t>
  </si>
  <si>
    <t>NORTH CENTRAL SURGICAL CENTER LLP</t>
  </si>
  <si>
    <t>219336901</t>
  </si>
  <si>
    <t>1861690364</t>
  </si>
  <si>
    <t>DALLAS MEDICAL CENTER LLC</t>
  </si>
  <si>
    <t>Nick Geer</t>
  </si>
  <si>
    <t>NGeer@primehealthcare.com</t>
  </si>
  <si>
    <t>354018901</t>
  </si>
  <si>
    <t>1790174860</t>
  </si>
  <si>
    <t>PRIME HEALTHCARE SERVICES MESQUITE LLC-DALLAS REGIONAL MEDICAL CENTER</t>
  </si>
  <si>
    <t>Michael Metts</t>
  </si>
  <si>
    <t>mmetts@primehealthcare.com</t>
  </si>
  <si>
    <t>(214) 320-7169</t>
  </si>
  <si>
    <t>094347402</t>
  </si>
  <si>
    <t>1144294893</t>
  </si>
  <si>
    <t>112721903</t>
  </si>
  <si>
    <t>1538465901</t>
  </si>
  <si>
    <t>BIR JV LLP-BAYLOR INSTITUTE FOR REHABILITATION</t>
  </si>
  <si>
    <t>218868201</t>
  </si>
  <si>
    <t>1922321447</t>
  </si>
  <si>
    <t>REHABILITATION HOSPITAL OF MESQUITE LLC-MESQUITE REHABILITATION INSTITUTE</t>
  </si>
  <si>
    <t>288563403</t>
  </si>
  <si>
    <t>1285930891</t>
  </si>
  <si>
    <t>BAYLOR INSTITUTE FOR REHABILITATION AT FRISCO</t>
  </si>
  <si>
    <t>314562501</t>
  </si>
  <si>
    <t>1982920773</t>
  </si>
  <si>
    <t>325177904</t>
  </si>
  <si>
    <t>1043552177</t>
  </si>
  <si>
    <t>POST ACUTE MEDICAL AT ALLEN LLC DBA WARM SPRINGS-WARM SPRINGS REHABILITATION HOSPITAL OF ALLEN</t>
  </si>
  <si>
    <t>112701102</t>
  </si>
  <si>
    <t>1144274226</t>
  </si>
  <si>
    <t>NAVARRO REGIONAL HOSPITAL</t>
  </si>
  <si>
    <t>Shea Brock</t>
  </si>
  <si>
    <t>Shea_Brock@chs.net</t>
  </si>
  <si>
    <t>Navarro</t>
  </si>
  <si>
    <t>175287501</t>
  </si>
  <si>
    <t>1285798918</t>
  </si>
  <si>
    <t>UNIVERSITY OF TEXAS SOUTHWESTERN MEDICAL CENTER AT CLEMENTS</t>
  </si>
  <si>
    <t>Pat McCaa</t>
  </si>
  <si>
    <t>patricia.mccaa@utsouthwestern.edu</t>
  </si>
  <si>
    <t>175289101</t>
  </si>
  <si>
    <t>1417010653</t>
  </si>
  <si>
    <t>UTSOUTHWESTERN UNIVERSITY HOSPITAL ZALE LIPSHY</t>
  </si>
  <si>
    <t>127295703</t>
  </si>
  <si>
    <t>1932123247</t>
  </si>
  <si>
    <t>PARKLAND MEMORIAL HOSPITAL</t>
  </si>
  <si>
    <t>Keri Disney-Story</t>
  </si>
  <si>
    <t>keri.disney-story@phhs.org</t>
  </si>
  <si>
    <t>199238002</t>
  </si>
  <si>
    <t>1720279342</t>
  </si>
  <si>
    <t>SDA Increase Percentage (Cannot exceed 81%)</t>
  </si>
  <si>
    <t>2017 Total Encounter Payments Inflated to 2019</t>
  </si>
  <si>
    <t>2017 Encounter Payments Inflated to 2019 with Rate Increase</t>
  </si>
  <si>
    <t>Contact</t>
  </si>
  <si>
    <t>Entity Name</t>
  </si>
  <si>
    <t>Contact Email</t>
  </si>
  <si>
    <t>Phone Number</t>
  </si>
  <si>
    <t>CraigBjerke@mhd.com</t>
  </si>
  <si>
    <t>Nicole McDonald</t>
  </si>
  <si>
    <t>Nicole.McDonald@kindred.com</t>
  </si>
  <si>
    <t>817-346-0094</t>
  </si>
  <si>
    <t>Bob Kido</t>
  </si>
  <si>
    <t>RKido@selectmedical.com</t>
  </si>
  <si>
    <t>Louis Bradley</t>
  </si>
  <si>
    <t>Louis.Bradley@promisehealthcare.com</t>
  </si>
  <si>
    <t>IGT Entity</t>
  </si>
  <si>
    <t>Parkland Memorial Hospital</t>
  </si>
  <si>
    <t>6-month $ Increase</t>
  </si>
  <si>
    <t>Total Annual PMPM Needed</t>
  </si>
  <si>
    <t>Total Annual PMPM Including 10% HHSC Buffer</t>
  </si>
  <si>
    <t>Total IGT Need - Annual</t>
  </si>
  <si>
    <t>Total IGT Need - 6 Months</t>
  </si>
  <si>
    <t>Total Modified SF</t>
  </si>
  <si>
    <t>UT Southwestern</t>
  </si>
  <si>
    <t>Hunt Regional Hospital</t>
  </si>
  <si>
    <t>Dallas LPPF</t>
  </si>
  <si>
    <t>Risk Margin</t>
  </si>
  <si>
    <t>Admin Fee</t>
  </si>
  <si>
    <t>Premium Tax</t>
  </si>
  <si>
    <t>ACA health insurance premium fee (est.)</t>
  </si>
  <si>
    <t>Withhold</t>
  </si>
  <si>
    <t>FMAP</t>
  </si>
  <si>
    <t>IGT Calculation</t>
  </si>
  <si>
    <t>Dallas County LPPF</t>
  </si>
  <si>
    <t>Todd Korth</t>
  </si>
  <si>
    <t>tkorth@warmsprings.org</t>
  </si>
  <si>
    <t>Katie Shuey</t>
  </si>
  <si>
    <t>Christina Smith</t>
  </si>
  <si>
    <t>Christina.Smith@adpt.com</t>
  </si>
  <si>
    <t>BN Increase - 12 Months</t>
  </si>
  <si>
    <t>Total Annual UHRIP Payments</t>
  </si>
  <si>
    <t>Kathleen Sweeney</t>
  </si>
  <si>
    <t>Kathleen.Sweeney@hcahealthcare.com</t>
  </si>
  <si>
    <t>(972) 401-8757</t>
  </si>
  <si>
    <t>12 month IGT commitment</t>
  </si>
  <si>
    <t>Plano Specialty Hospital</t>
  </si>
  <si>
    <t>353871201</t>
  </si>
  <si>
    <t>320384603</t>
  </si>
  <si>
    <t>Methodist Hospital for Surgery</t>
  </si>
  <si>
    <t>450647</t>
  </si>
  <si>
    <t>450822</t>
  </si>
  <si>
    <t>450403</t>
  </si>
  <si>
    <t>450651</t>
  </si>
  <si>
    <t>364710901</t>
  </si>
  <si>
    <t>City Hospital at White Rock</t>
  </si>
  <si>
    <t>Anil Jain</t>
  </si>
  <si>
    <t>anil.jain@cityhospital.us</t>
  </si>
  <si>
    <t>ENCOMPASS HEALTH REHABILITATION HOSPITAL OF DALLAS LLC</t>
  </si>
  <si>
    <t>ENCOMPASS HEALT REHABILITATION HOSPITAL OF RICHARDSON</t>
  </si>
  <si>
    <t>ENCOMPASS HEALTH PLANO REHABILITATION HOSPITAL LLC</t>
  </si>
  <si>
    <t>Amerigroup</t>
  </si>
  <si>
    <t>Molina</t>
  </si>
  <si>
    <t>Parkland Community Health Plan</t>
  </si>
  <si>
    <t>Superior</t>
  </si>
  <si>
    <t>Robert Kowalksi</t>
  </si>
  <si>
    <t>ROBERT.KOWALSKI@phhs.org</t>
  </si>
  <si>
    <t>John McGuinness</t>
  </si>
  <si>
    <t>John.Mcguinness@MolinaHealthCare.Com</t>
  </si>
  <si>
    <t>Jared Wolfe</t>
  </si>
  <si>
    <t>Jared.Wolfe@superiorhealthplan.com</t>
  </si>
  <si>
    <t>Toni Pierre</t>
  </si>
  <si>
    <t>Toni.Pierre@amerigroup.com</t>
  </si>
  <si>
    <t>3800 Buffalo Speedway, Suite 400, Houston, TX 77098</t>
  </si>
  <si>
    <t>12515 Research Blvd., Austin, TX 78759</t>
  </si>
  <si>
    <t>James Blasingame</t>
  </si>
  <si>
    <t>james.blasingame@phhs.org</t>
  </si>
  <si>
    <t>(214) 590-4174</t>
  </si>
  <si>
    <t>450015</t>
  </si>
  <si>
    <t>Dallas County Hospital District dba Parkland Health &amp; Hospital System</t>
  </si>
  <si>
    <t>450044</t>
  </si>
  <si>
    <t>University of Texas Southwestern Medical Center at Clements</t>
  </si>
  <si>
    <t>(214) 648-9047</t>
  </si>
  <si>
    <t>450766</t>
  </si>
  <si>
    <t>UT Southwestern University Hospital Zale Lipshy</t>
  </si>
  <si>
    <t>450352</t>
  </si>
  <si>
    <t>Hunt Memorial Hospital District-Hunt Regional Medical Center</t>
  </si>
  <si>
    <t>(903) 408-5000</t>
  </si>
  <si>
    <t>5605 N MacArthur Blvd, #400, Irving, TX 75038</t>
  </si>
  <si>
    <t>Dov Shimanowitz</t>
  </si>
  <si>
    <t>Dov.shimanowitz@concordhcg.com</t>
  </si>
  <si>
    <t>(214) 266-2107</t>
  </si>
  <si>
    <t>5200 Harry Hines Blvd, Dallas Texas 75235</t>
  </si>
  <si>
    <t>337018101</t>
  </si>
  <si>
    <t>IGT Commitment</t>
  </si>
  <si>
    <t>1689068355</t>
  </si>
  <si>
    <t>1598138919</t>
  </si>
  <si>
    <t>Medicaid Shortfall</t>
  </si>
  <si>
    <t>Final Percentage Increase</t>
  </si>
  <si>
    <t>Final Increase</t>
  </si>
  <si>
    <t>Estimated IGT after 10% for 6 months</t>
  </si>
  <si>
    <t>Hospital_Location</t>
  </si>
  <si>
    <t>SFY18 Trended*</t>
  </si>
  <si>
    <t>12 Month UHRIP Increase</t>
  </si>
  <si>
    <t>STAR</t>
  </si>
  <si>
    <t>STAR+PLUS</t>
  </si>
  <si>
    <t>STAR Total</t>
  </si>
  <si>
    <t>STAR+PLUS Total</t>
  </si>
  <si>
    <t>Baylor Medical Centers at Garland and McKinney</t>
  </si>
  <si>
    <t>VIBRA SPECIALTY HOSPITAL OF DALLAS LLC</t>
  </si>
  <si>
    <t>Methodist Rehabilitation Hospital</t>
  </si>
  <si>
    <t>HEALTHSOUTH REHABILITATION HOSPITAL OF DALLAS</t>
  </si>
  <si>
    <t>State-owned</t>
  </si>
  <si>
    <t>AA Encounters</t>
  </si>
  <si>
    <t>1023338142</t>
  </si>
  <si>
    <t>1134127749</t>
  </si>
  <si>
    <t>1487848941</t>
  </si>
  <si>
    <t>1508292723</t>
  </si>
  <si>
    <t>Room 95%</t>
  </si>
  <si>
    <t>Extra Percentage</t>
  </si>
  <si>
    <t>Room 81%</t>
  </si>
  <si>
    <t>Modified SDA Increase Percentage based on BN Availability</t>
  </si>
  <si>
    <t>* SFY18 Encounter Data trended to SFY20 with final actuarial factors</t>
  </si>
  <si>
    <t>Estimated IGT before 10% Reserve</t>
  </si>
  <si>
    <t>Estimated IGT after 10% Reserve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</si>
</sst>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
    <numFmt numFmtId="166" formatCode="[&lt;=9999999]###\-####;\(###\)\ ###\-####"/>
    <numFmt numFmtId="167" formatCode="&quot;$&quot;#,##0.00"/>
    <numFmt numFmtId="168" formatCode="_(* #,##0_);_(* \(#,##0\);_(* &quot;-&quot;??_);_(@_)"/>
  </numFmts>
  <fonts count="33">
    <font>
      <sz val="10"/>
      <color indexed="8"/>
      <name val="Arial"/>
      <family val="2"/>
    </font>
    <font>
      <sz val="11"/>
      <color theme="1"/>
      <name val="Calibri"/>
      <family val="2"/>
      <scheme val="minor"/>
    </font>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indexed="8"/>
      <name val="Calibri"/>
      <family val="2"/>
    </font>
    <font>
      <sz val="10"/>
      <color indexed="8"/>
      <name val="Arial"/>
      <family val="2"/>
    </font>
    <font>
      <b/>
      <sz val="11"/>
      <color theme="0"/>
      <name val="Calibri"/>
      <family val="2"/>
    </font>
    <font>
      <b/>
      <sz val="10"/>
      <name val="Arial"/>
      <family val="2"/>
    </font>
    <font>
      <sz val="10"/>
      <color rgb="FF000000"/>
      <name val="Arial"/>
      <family val="2"/>
    </font>
    <font>
      <b/>
      <sz val="10"/>
      <color indexed="8"/>
      <name val="Arial"/>
      <family val="2"/>
    </font>
    <font>
      <sz val="10"/>
      <color rgb="FF111111"/>
      <name val="Arial"/>
      <family val="2"/>
    </font>
    <font>
      <b/>
      <sz val="10"/>
      <color theme="1"/>
      <name val="Arial"/>
      <family val="2"/>
    </font>
    <font>
      <sz val="12"/>
      <color theme="1"/>
      <name val="Calibri"/>
      <family val="2"/>
      <scheme val="minor"/>
    </font>
    <font>
      <u/>
      <sz val="10"/>
      <color theme="10"/>
      <name val="Arial"/>
      <family val="2"/>
    </font>
    <font>
      <b/>
      <vertAlign val="superscript"/>
      <sz val="11"/>
      <color theme="1"/>
      <name val="Calibri"/>
      <family val="2"/>
      <scheme val="minor"/>
    </font>
    <font>
      <sz val="9"/>
      <color rgb="FF000000"/>
      <name val="Arial"/>
      <family val="2"/>
    </font>
    <font>
      <u/>
      <sz val="10"/>
      <color theme="11"/>
      <name val="Arial"/>
      <family val="2"/>
    </font>
    <font>
      <vertAlign val="superscript"/>
      <sz val="8"/>
      <color indexed="8"/>
      <name val="Arial"/>
      <family val="2"/>
    </font>
    <font>
      <sz val="8"/>
      <color indexed="8"/>
      <name val="Arial"/>
      <family val="2"/>
    </font>
    <font>
      <u/>
      <sz val="10"/>
      <color theme="10"/>
      <name val="ArialMT"/>
      <family val="2"/>
    </font>
    <font>
      <sz val="10"/>
      <name val="Arial"/>
      <family val="2"/>
    </font>
    <font>
      <sz val="9"/>
      <color indexed="81"/>
      <name val="Tahoma"/>
      <family val="2"/>
    </font>
    <font>
      <b/>
      <sz val="9"/>
      <color indexed="81"/>
      <name val="Tahoma"/>
      <family val="2"/>
    </font>
    <font>
      <b/>
      <sz val="11"/>
      <color indexed="8"/>
      <name val="Calibri"/>
      <family val="2"/>
    </font>
    <font>
      <b/>
      <sz val="11"/>
      <color rgb="FFFFFFFF"/>
      <name val="Calibri"/>
      <family val="2"/>
    </font>
    <font>
      <sz val="12"/>
      <color indexed="8"/>
      <name val="Verdana"/>
      <family val="2"/>
    </font>
  </fonts>
  <fills count="9">
    <fill>
      <patternFill patternType="none"/>
    </fill>
    <fill>
      <patternFill patternType="gray125"/>
    </fill>
    <fill>
      <patternFill patternType="solid">
        <fgColor rgb="FF0070C0"/>
        <bgColor indexed="64"/>
      </patternFill>
    </fill>
    <fill>
      <patternFill patternType="solid">
        <fgColor theme="3" tint="0.39997558519241921"/>
        <bgColor indexed="64"/>
      </patternFill>
    </fill>
    <fill>
      <patternFill patternType="solid">
        <fgColor theme="0"/>
        <bgColor indexed="64"/>
      </patternFill>
    </fill>
    <fill>
      <patternFill patternType="solid">
        <fgColor theme="5" tint="0.59999389629810485"/>
        <bgColor indexed="65"/>
      </patternFill>
    </fill>
    <fill>
      <patternFill patternType="solid">
        <fgColor theme="8" tint="0.59999389629810485"/>
        <bgColor indexed="65"/>
      </patternFill>
    </fill>
    <fill>
      <patternFill patternType="solid">
        <fgColor theme="3" tint="0.79998168889431442"/>
        <bgColor indexed="64"/>
      </patternFill>
    </fill>
    <fill>
      <patternFill patternType="solid">
        <fgColor theme="0" tint="-0.14999847407452621"/>
        <bgColor indexed="64"/>
      </patternFill>
    </fill>
  </fills>
  <borders count="19">
    <border>
      <left/>
      <right/>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indexed="64"/>
      </left>
      <right style="thin">
        <color auto="1"/>
      </right>
      <top style="thin">
        <color indexed="64"/>
      </top>
      <bottom style="double">
        <color indexed="64"/>
      </bottom>
      <diagonal/>
    </border>
    <border>
      <left style="thin">
        <color auto="1"/>
      </left>
      <right style="thin">
        <color indexed="64"/>
      </right>
      <top style="thin">
        <color indexed="64"/>
      </top>
      <bottom style="double">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s>
  <cellStyleXfs count="51">
    <xf numFmtId="0" fontId="0" fillId="0" borderId="0"/>
    <xf numFmtId="44" fontId="11" fillId="0" borderId="0" applyFont="0" applyFill="0" applyBorder="0" applyAlignment="0" applyProtection="0"/>
    <xf numFmtId="9" fontId="12" fillId="0" borderId="0" applyFont="0" applyFill="0" applyBorder="0" applyAlignment="0" applyProtection="0"/>
    <xf numFmtId="0" fontId="12" fillId="0" borderId="0"/>
    <xf numFmtId="9" fontId="12" fillId="0" borderId="0" applyFont="0" applyFill="0" applyBorder="0" applyAlignment="0" applyProtection="0"/>
    <xf numFmtId="44" fontId="11"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xf numFmtId="0" fontId="20" fillId="0" borderId="0" applyNumberFormat="0" applyFill="0" applyBorder="0" applyAlignment="0" applyProtection="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9" fillId="6" borderId="0" applyNumberFormat="0" applyBorder="0" applyAlignment="0" applyProtection="0"/>
    <xf numFmtId="9" fontId="12" fillId="0" borderId="0" applyFont="0" applyFill="0" applyBorder="0" applyAlignment="0" applyProtection="0"/>
    <xf numFmtId="0" fontId="12"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26" fillId="0" borderId="0" applyNumberFormat="0" applyFill="0" applyBorder="0" applyAlignment="0" applyProtection="0"/>
    <xf numFmtId="0" fontId="5" fillId="5" borderId="0" applyNumberFormat="0" applyBorder="0" applyAlignment="0" applyProtection="0"/>
    <xf numFmtId="0" fontId="5" fillId="6" borderId="0" applyNumberFormat="0" applyBorder="0" applyAlignment="0" applyProtection="0"/>
    <xf numFmtId="0" fontId="12" fillId="0" borderId="0"/>
    <xf numFmtId="42"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0" fontId="20" fillId="0" borderId="0" applyNumberFormat="0" applyFill="0" applyBorder="0" applyAlignment="0" applyProtection="0"/>
    <xf numFmtId="0" fontId="5" fillId="5" borderId="0" applyNumberFormat="0" applyBorder="0" applyAlignment="0" applyProtection="0"/>
    <xf numFmtId="0" fontId="5" fillId="6" borderId="0" applyNumberFormat="0" applyBorder="0" applyAlignment="0" applyProtection="0"/>
    <xf numFmtId="9" fontId="12"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20" fillId="0" borderId="0" applyNumberFormat="0" applyFill="0" applyBorder="0" applyAlignment="0" applyProtection="0"/>
    <xf numFmtId="43" fontId="12" fillId="0" borderId="0" applyFont="0" applyFill="0" applyBorder="0" applyAlignment="0" applyProtection="0"/>
    <xf numFmtId="0" fontId="2" fillId="0" borderId="0"/>
    <xf numFmtId="0" fontId="2" fillId="0" borderId="0"/>
    <xf numFmtId="0" fontId="1" fillId="5" borderId="0" applyNumberFormat="0" applyBorder="0" applyAlignment="0" applyProtection="0"/>
  </cellStyleXfs>
  <cellXfs count="158">
    <xf numFmtId="0" fontId="0" fillId="0" borderId="0" xfId="0"/>
    <xf numFmtId="0" fontId="0" fillId="4" borderId="0" xfId="0" applyFill="1"/>
    <xf numFmtId="164" fontId="0" fillId="0" borderId="0" xfId="1" applyNumberFormat="1" applyFont="1"/>
    <xf numFmtId="0" fontId="13" fillId="2" borderId="2" xfId="0" applyFont="1" applyFill="1" applyBorder="1" applyAlignment="1">
      <alignment horizontal="center" wrapText="1"/>
    </xf>
    <xf numFmtId="0" fontId="12" fillId="0" borderId="0" xfId="10"/>
    <xf numFmtId="164" fontId="10" fillId="0" borderId="4" xfId="1" applyNumberFormat="1" applyFont="1" applyBorder="1" applyAlignment="1">
      <alignment horizontal="left"/>
    </xf>
    <xf numFmtId="0" fontId="0" fillId="0" borderId="4" xfId="0" applyBorder="1"/>
    <xf numFmtId="0" fontId="13" fillId="2" borderId="4" xfId="0" applyFont="1" applyFill="1" applyBorder="1" applyAlignment="1">
      <alignment horizontal="center" wrapText="1"/>
    </xf>
    <xf numFmtId="0" fontId="13" fillId="2" borderId="4" xfId="0" applyFont="1" applyFill="1" applyBorder="1" applyAlignment="1">
      <alignment horizontal="center"/>
    </xf>
    <xf numFmtId="165" fontId="15" fillId="0" borderId="4" xfId="2" applyNumberFormat="1" applyFont="1" applyBorder="1" applyAlignment="1">
      <alignment horizontal="left"/>
    </xf>
    <xf numFmtId="49" fontId="15" fillId="0" borderId="4" xfId="2" applyNumberFormat="1" applyFont="1" applyBorder="1" applyAlignment="1">
      <alignment horizontal="left"/>
    </xf>
    <xf numFmtId="166" fontId="15" fillId="0" borderId="4" xfId="2" applyNumberFormat="1" applyFont="1" applyBorder="1" applyAlignment="1">
      <alignment horizontal="left"/>
    </xf>
    <xf numFmtId="165" fontId="15" fillId="0" borderId="4" xfId="2" applyNumberFormat="1" applyFont="1" applyBorder="1" applyAlignment="1">
      <alignment horizontal="left" wrapText="1"/>
    </xf>
    <xf numFmtId="164" fontId="15" fillId="0" borderId="4" xfId="1" applyNumberFormat="1" applyFont="1" applyBorder="1" applyAlignment="1">
      <alignment horizontal="left"/>
    </xf>
    <xf numFmtId="10" fontId="10" fillId="0" borderId="4" xfId="2" applyNumberFormat="1" applyFont="1" applyBorder="1" applyAlignment="1">
      <alignment horizontal="center"/>
    </xf>
    <xf numFmtId="164" fontId="10" fillId="0" borderId="4" xfId="1" applyNumberFormat="1" applyFont="1" applyBorder="1" applyAlignment="1">
      <alignment horizontal="center"/>
    </xf>
    <xf numFmtId="164" fontId="17" fillId="0" borderId="4" xfId="0" applyNumberFormat="1" applyFont="1" applyBorder="1" applyAlignment="1">
      <alignment horizontal="center"/>
    </xf>
    <xf numFmtId="49" fontId="10" fillId="0" borderId="4" xfId="2" applyNumberFormat="1" applyFont="1" applyBorder="1" applyAlignment="1">
      <alignment horizontal="left"/>
    </xf>
    <xf numFmtId="165" fontId="10" fillId="0" borderId="4" xfId="2" applyNumberFormat="1" applyFont="1" applyBorder="1" applyAlignment="1">
      <alignment horizontal="left" wrapText="1"/>
    </xf>
    <xf numFmtId="165" fontId="0" fillId="0" borderId="4" xfId="2" applyNumberFormat="1" applyFont="1" applyBorder="1" applyAlignment="1">
      <alignment horizontal="left" wrapText="1"/>
    </xf>
    <xf numFmtId="164" fontId="14" fillId="3" borderId="4" xfId="1" applyNumberFormat="1" applyFont="1" applyFill="1" applyBorder="1" applyAlignment="1">
      <alignment horizontal="center" vertical="center" wrapText="1"/>
    </xf>
    <xf numFmtId="0" fontId="15" fillId="0" borderId="4" xfId="0" applyFont="1" applyBorder="1" applyAlignment="1">
      <alignment horizontal="left"/>
    </xf>
    <xf numFmtId="44" fontId="12" fillId="0" borderId="0" xfId="10" applyNumberFormat="1"/>
    <xf numFmtId="0" fontId="12" fillId="0" borderId="0" xfId="22"/>
    <xf numFmtId="0" fontId="12" fillId="0" borderId="0" xfId="22" applyAlignment="1">
      <alignment horizontal="center"/>
    </xf>
    <xf numFmtId="0" fontId="13" fillId="2" borderId="3" xfId="0" applyFont="1" applyFill="1" applyBorder="1" applyAlignment="1">
      <alignment horizontal="center" wrapText="1"/>
    </xf>
    <xf numFmtId="0" fontId="16" fillId="0" borderId="0" xfId="0" applyFont="1"/>
    <xf numFmtId="0" fontId="18" fillId="0" borderId="0" xfId="0" applyFont="1" applyAlignment="1">
      <alignment horizontal="center"/>
    </xf>
    <xf numFmtId="168" fontId="18" fillId="0" borderId="0" xfId="0" applyNumberFormat="1" applyFont="1"/>
    <xf numFmtId="164" fontId="0" fillId="0" borderId="5" xfId="11" applyNumberFormat="1" applyFont="1" applyBorder="1"/>
    <xf numFmtId="164" fontId="15" fillId="0" borderId="5" xfId="11" applyNumberFormat="1" applyFont="1" applyBorder="1" applyAlignment="1">
      <alignment horizontal="left"/>
    </xf>
    <xf numFmtId="164" fontId="15" fillId="0" borderId="5" xfId="12" applyNumberFormat="1" applyFont="1" applyBorder="1" applyAlignment="1">
      <alignment horizontal="left"/>
    </xf>
    <xf numFmtId="164" fontId="15" fillId="0" borderId="5" xfId="11" applyNumberFormat="1" applyFont="1" applyBorder="1" applyAlignment="1">
      <alignment horizontal="left" wrapText="1"/>
    </xf>
    <xf numFmtId="165" fontId="15" fillId="0" borderId="5" xfId="2" applyNumberFormat="1" applyFont="1" applyBorder="1" applyAlignment="1">
      <alignment horizontal="left" wrapText="1"/>
    </xf>
    <xf numFmtId="166" fontId="15" fillId="0" borderId="5" xfId="2" applyNumberFormat="1" applyFont="1" applyBorder="1" applyAlignment="1">
      <alignment horizontal="left"/>
    </xf>
    <xf numFmtId="0" fontId="13" fillId="2" borderId="5" xfId="0" applyFont="1" applyFill="1" applyBorder="1" applyAlignment="1">
      <alignment horizontal="center" wrapText="1"/>
    </xf>
    <xf numFmtId="0" fontId="13" fillId="2" borderId="5" xfId="0" applyFont="1" applyFill="1" applyBorder="1" applyAlignment="1">
      <alignment horizontal="center"/>
    </xf>
    <xf numFmtId="164" fontId="13" fillId="2" borderId="5" xfId="1" applyNumberFormat="1" applyFont="1" applyFill="1" applyBorder="1" applyAlignment="1">
      <alignment horizontal="center" wrapText="1"/>
    </xf>
    <xf numFmtId="165" fontId="15" fillId="0" borderId="5" xfId="2" applyNumberFormat="1" applyFont="1" applyBorder="1" applyAlignment="1">
      <alignment horizontal="left"/>
    </xf>
    <xf numFmtId="49" fontId="15" fillId="0" borderId="5" xfId="2" applyNumberFormat="1" applyFont="1" applyBorder="1" applyAlignment="1">
      <alignment horizontal="left"/>
    </xf>
    <xf numFmtId="0" fontId="15" fillId="0" borderId="5" xfId="2" applyNumberFormat="1" applyFont="1" applyBorder="1" applyAlignment="1">
      <alignment horizontal="left"/>
    </xf>
    <xf numFmtId="167" fontId="15" fillId="0" borderId="5" xfId="1" applyNumberFormat="1" applyFont="1" applyBorder="1" applyAlignment="1">
      <alignment horizontal="left" wrapText="1"/>
    </xf>
    <xf numFmtId="168" fontId="15" fillId="0" borderId="5" xfId="47" applyNumberFormat="1" applyFont="1" applyBorder="1" applyAlignment="1">
      <alignment horizontal="right" wrapText="1"/>
    </xf>
    <xf numFmtId="164" fontId="4" fillId="0" borderId="5" xfId="13" applyNumberFormat="1" applyFont="1" applyBorder="1" applyAlignment="1">
      <alignment horizontal="left" vertical="top"/>
    </xf>
    <xf numFmtId="164" fontId="4" fillId="0" borderId="5" xfId="11" applyNumberFormat="1" applyFont="1" applyBorder="1" applyAlignment="1">
      <alignment horizontal="left"/>
    </xf>
    <xf numFmtId="9" fontId="14" fillId="7" borderId="5" xfId="2" applyFont="1" applyFill="1" applyBorder="1" applyAlignment="1">
      <alignment horizontal="center" wrapText="1"/>
    </xf>
    <xf numFmtId="10" fontId="10" fillId="0" borderId="5" xfId="2" applyNumberFormat="1" applyFont="1" applyBorder="1" applyAlignment="1">
      <alignment horizontal="center"/>
    </xf>
    <xf numFmtId="44" fontId="0" fillId="0" borderId="5" xfId="1" applyFont="1" applyBorder="1"/>
    <xf numFmtId="9" fontId="0" fillId="0" borderId="5" xfId="2" applyFont="1" applyBorder="1"/>
    <xf numFmtId="164" fontId="0" fillId="0" borderId="5" xfId="1" applyNumberFormat="1" applyFont="1" applyBorder="1"/>
    <xf numFmtId="0" fontId="13" fillId="2" borderId="1" xfId="0" applyFont="1" applyFill="1" applyBorder="1" applyAlignment="1">
      <alignment horizontal="center" wrapText="1"/>
    </xf>
    <xf numFmtId="164" fontId="16" fillId="0" borderId="5" xfId="1" applyNumberFormat="1" applyFont="1" applyBorder="1"/>
    <xf numFmtId="9" fontId="16" fillId="0" borderId="5" xfId="2" applyFont="1" applyBorder="1" applyAlignment="1">
      <alignment horizontal="center"/>
    </xf>
    <xf numFmtId="164" fontId="16" fillId="0" borderId="5" xfId="1" applyNumberFormat="1" applyFont="1" applyBorder="1" applyAlignment="1">
      <alignment horizontal="center"/>
    </xf>
    <xf numFmtId="44" fontId="16" fillId="0" borderId="5" xfId="1" applyFont="1" applyBorder="1" applyAlignment="1">
      <alignment horizontal="center"/>
    </xf>
    <xf numFmtId="164" fontId="18" fillId="0" borderId="5" xfId="1" applyNumberFormat="1" applyFont="1" applyBorder="1" applyAlignment="1">
      <alignment horizontal="center"/>
    </xf>
    <xf numFmtId="0" fontId="3" fillId="6" borderId="4" xfId="20" applyFont="1" applyBorder="1" applyAlignment="1">
      <alignment wrapText="1"/>
    </xf>
    <xf numFmtId="0" fontId="0" fillId="0" borderId="5" xfId="0" applyBorder="1"/>
    <xf numFmtId="0" fontId="17" fillId="0" borderId="5" xfId="0" applyFont="1" applyBorder="1" applyAlignment="1">
      <alignment horizontal="center"/>
    </xf>
    <xf numFmtId="9" fontId="0" fillId="0" borderId="5" xfId="21" applyFont="1" applyBorder="1" applyAlignment="1">
      <alignment horizontal="center"/>
    </xf>
    <xf numFmtId="164" fontId="12" fillId="0" borderId="5" xfId="11" applyNumberFormat="1" applyBorder="1"/>
    <xf numFmtId="44" fontId="12" fillId="0" borderId="5" xfId="11" applyBorder="1"/>
    <xf numFmtId="164" fontId="0" fillId="0" borderId="5" xfId="13" applyNumberFormat="1" applyFont="1" applyBorder="1"/>
    <xf numFmtId="164" fontId="15" fillId="0" borderId="5" xfId="1" applyNumberFormat="1" applyFont="1" applyBorder="1" applyAlignment="1">
      <alignment horizontal="left"/>
    </xf>
    <xf numFmtId="164" fontId="0" fillId="0" borderId="0" xfId="0" applyNumberFormat="1"/>
    <xf numFmtId="164" fontId="0" fillId="0" borderId="0" xfId="5" applyNumberFormat="1" applyFont="1"/>
    <xf numFmtId="9" fontId="0" fillId="0" borderId="0" xfId="39" applyFont="1"/>
    <xf numFmtId="0" fontId="0" fillId="0" borderId="8" xfId="0" applyBorder="1"/>
    <xf numFmtId="164" fontId="12" fillId="0" borderId="5" xfId="0" applyNumberFormat="1" applyFont="1" applyBorder="1"/>
    <xf numFmtId="0" fontId="0" fillId="0" borderId="9" xfId="0" applyBorder="1"/>
    <xf numFmtId="164" fontId="12" fillId="0" borderId="10" xfId="0" applyNumberFormat="1" applyFont="1" applyBorder="1"/>
    <xf numFmtId="0" fontId="0" fillId="0" borderId="11" xfId="0" applyBorder="1"/>
    <xf numFmtId="164" fontId="12" fillId="0" borderId="12" xfId="0" applyNumberFormat="1" applyFont="1" applyBorder="1"/>
    <xf numFmtId="164" fontId="16" fillId="0" borderId="0" xfId="0" applyNumberFormat="1" applyFont="1"/>
    <xf numFmtId="0" fontId="0" fillId="0" borderId="0" xfId="0" applyAlignment="1">
      <alignment horizontal="right"/>
    </xf>
    <xf numFmtId="0" fontId="18" fillId="5" borderId="5" xfId="50" applyFont="1" applyBorder="1" applyAlignment="1">
      <alignment wrapText="1"/>
    </xf>
    <xf numFmtId="0" fontId="9" fillId="6" borderId="5" xfId="20" applyBorder="1" applyAlignment="1">
      <alignment wrapText="1"/>
    </xf>
    <xf numFmtId="165" fontId="18" fillId="0" borderId="5" xfId="5" applyNumberFormat="1" applyFont="1" applyBorder="1" applyAlignment="1">
      <alignment wrapText="1"/>
    </xf>
    <xf numFmtId="164" fontId="0" fillId="0" borderId="5" xfId="5" applyNumberFormat="1" applyFont="1" applyBorder="1"/>
    <xf numFmtId="165" fontId="18" fillId="5" borderId="5" xfId="5" applyNumberFormat="1" applyFont="1" applyFill="1" applyBorder="1" applyAlignment="1">
      <alignment wrapText="1"/>
    </xf>
    <xf numFmtId="165" fontId="3" fillId="0" borderId="0" xfId="2" applyNumberFormat="1" applyFont="1" applyAlignment="1">
      <alignment horizontal="left" wrapText="1"/>
    </xf>
    <xf numFmtId="0" fontId="11" fillId="0" borderId="0" xfId="0" applyFont="1" applyAlignment="1">
      <alignment wrapText="1"/>
    </xf>
    <xf numFmtId="0" fontId="16" fillId="0" borderId="0" xfId="0" applyFont="1" applyAlignment="1">
      <alignment vertical="center"/>
    </xf>
    <xf numFmtId="0" fontId="0" fillId="0" borderId="0" xfId="0" applyAlignment="1">
      <alignment vertical="center"/>
    </xf>
    <xf numFmtId="164" fontId="0" fillId="0" borderId="0" xfId="1" applyNumberFormat="1" applyFont="1" applyAlignment="1">
      <alignment vertical="center"/>
    </xf>
    <xf numFmtId="168" fontId="16" fillId="0" borderId="0" xfId="47" applyNumberFormat="1" applyFont="1" applyAlignment="1">
      <alignment vertical="center"/>
    </xf>
    <xf numFmtId="164" fontId="30" fillId="0" borderId="0" xfId="1" applyNumberFormat="1" applyFont="1" applyAlignment="1">
      <alignment horizontal="right" vertical="center" wrapText="1"/>
    </xf>
    <xf numFmtId="165" fontId="15" fillId="0" borderId="5" xfId="1" applyNumberFormat="1" applyFont="1" applyBorder="1" applyAlignment="1">
      <alignment horizontal="left" wrapText="1"/>
    </xf>
    <xf numFmtId="165" fontId="0" fillId="0" borderId="6" xfId="0" applyNumberFormat="1" applyBorder="1"/>
    <xf numFmtId="10" fontId="0" fillId="0" borderId="13" xfId="2" applyNumberFormat="1" applyFont="1" applyBorder="1" applyAlignment="1">
      <alignment horizontal="right"/>
    </xf>
    <xf numFmtId="165" fontId="0" fillId="0" borderId="8" xfId="0" applyNumberFormat="1" applyBorder="1"/>
    <xf numFmtId="10" fontId="0" fillId="0" borderId="14" xfId="2" applyNumberFormat="1" applyFont="1" applyBorder="1" applyAlignment="1">
      <alignment horizontal="right"/>
    </xf>
    <xf numFmtId="165" fontId="0" fillId="0" borderId="15" xfId="0" applyNumberFormat="1" applyBorder="1"/>
    <xf numFmtId="10" fontId="0" fillId="0" borderId="16" xfId="0" applyNumberFormat="1" applyBorder="1"/>
    <xf numFmtId="165" fontId="0" fillId="0" borderId="0" xfId="0" applyNumberFormat="1" applyAlignment="1">
      <alignment wrapText="1"/>
    </xf>
    <xf numFmtId="10" fontId="11" fillId="0" borderId="0" xfId="4" applyNumberFormat="1" applyFont="1" applyAlignment="1">
      <alignment horizontal="right" wrapText="1"/>
    </xf>
    <xf numFmtId="0" fontId="0" fillId="0" borderId="8" xfId="0" applyBorder="1" applyAlignment="1">
      <alignment wrapText="1"/>
    </xf>
    <xf numFmtId="164" fontId="12" fillId="0" borderId="17" xfId="0" applyNumberFormat="1" applyFont="1" applyBorder="1"/>
    <xf numFmtId="0" fontId="12" fillId="0" borderId="5" xfId="0" applyFont="1" applyBorder="1"/>
    <xf numFmtId="0" fontId="3" fillId="6" borderId="5" xfId="20" applyFont="1" applyBorder="1" applyAlignment="1">
      <alignment wrapText="1"/>
    </xf>
    <xf numFmtId="165" fontId="15" fillId="0" borderId="4" xfId="2" quotePrefix="1" applyNumberFormat="1" applyFont="1" applyBorder="1" applyAlignment="1">
      <alignment horizontal="left"/>
    </xf>
    <xf numFmtId="166" fontId="3" fillId="0" borderId="5" xfId="2" applyNumberFormat="1" applyFont="1" applyBorder="1" applyAlignment="1">
      <alignment horizontal="left"/>
    </xf>
    <xf numFmtId="0" fontId="20" fillId="0" borderId="5" xfId="9" applyBorder="1"/>
    <xf numFmtId="0" fontId="15" fillId="0" borderId="5" xfId="2" quotePrefix="1" applyNumberFormat="1" applyFont="1" applyFill="1" applyBorder="1" applyAlignment="1">
      <alignment horizontal="left"/>
    </xf>
    <xf numFmtId="49" fontId="15" fillId="0" borderId="5" xfId="2" applyNumberFormat="1" applyFont="1" applyFill="1" applyBorder="1" applyAlignment="1">
      <alignment horizontal="left"/>
    </xf>
    <xf numFmtId="165" fontId="15" fillId="0" borderId="5" xfId="2" applyNumberFormat="1" applyFont="1" applyFill="1" applyBorder="1" applyAlignment="1">
      <alignment horizontal="left"/>
    </xf>
    <xf numFmtId="166" fontId="15" fillId="0" borderId="5" xfId="2" applyNumberFormat="1" applyFont="1" applyFill="1" applyBorder="1" applyAlignment="1">
      <alignment horizontal="left"/>
    </xf>
    <xf numFmtId="165" fontId="15" fillId="0" borderId="5" xfId="2" applyNumberFormat="1" applyFont="1" applyFill="1" applyBorder="1" applyAlignment="1">
      <alignment horizontal="left" wrapText="1"/>
    </xf>
    <xf numFmtId="167" fontId="15" fillId="0" borderId="5" xfId="1" applyNumberFormat="1" applyFont="1" applyFill="1" applyBorder="1" applyAlignment="1">
      <alignment horizontal="left" wrapText="1"/>
    </xf>
    <xf numFmtId="164" fontId="15" fillId="0" borderId="5" xfId="1" applyNumberFormat="1" applyFont="1" applyFill="1" applyBorder="1" applyAlignment="1">
      <alignment horizontal="left"/>
    </xf>
    <xf numFmtId="10" fontId="10" fillId="0" borderId="4" xfId="2" applyNumberFormat="1" applyFont="1" applyFill="1" applyBorder="1" applyAlignment="1">
      <alignment horizontal="center"/>
    </xf>
    <xf numFmtId="10" fontId="10" fillId="0" borderId="5" xfId="2" applyNumberFormat="1" applyFont="1" applyFill="1" applyBorder="1" applyAlignment="1">
      <alignment horizontal="center"/>
    </xf>
    <xf numFmtId="164" fontId="10" fillId="0" borderId="4" xfId="1" applyNumberFormat="1" applyFont="1" applyFill="1" applyBorder="1" applyAlignment="1">
      <alignment horizontal="left"/>
    </xf>
    <xf numFmtId="164" fontId="10" fillId="0" borderId="4" xfId="1" applyNumberFormat="1" applyFont="1" applyFill="1" applyBorder="1" applyAlignment="1">
      <alignment horizontal="center"/>
    </xf>
    <xf numFmtId="164" fontId="17" fillId="0" borderId="4" xfId="0" applyNumberFormat="1" applyFont="1" applyFill="1" applyBorder="1" applyAlignment="1">
      <alignment horizontal="center"/>
    </xf>
    <xf numFmtId="0" fontId="17" fillId="0" borderId="5" xfId="0" applyFont="1" applyFill="1" applyBorder="1" applyAlignment="1">
      <alignment horizontal="center"/>
    </xf>
    <xf numFmtId="0" fontId="0" fillId="0" borderId="0" xfId="0" applyFill="1"/>
    <xf numFmtId="165" fontId="15" fillId="0" borderId="4" xfId="2" applyNumberFormat="1" applyFont="1" applyFill="1" applyBorder="1" applyAlignment="1">
      <alignment horizontal="left"/>
    </xf>
    <xf numFmtId="49" fontId="13" fillId="2" borderId="4" xfId="0" applyNumberFormat="1" applyFont="1" applyFill="1" applyBorder="1" applyAlignment="1">
      <alignment horizontal="center" wrapText="1"/>
    </xf>
    <xf numFmtId="49" fontId="8" fillId="0" borderId="4" xfId="6" quotePrefix="1" applyNumberFormat="1" applyFont="1" applyBorder="1" applyAlignment="1">
      <alignment horizontal="left"/>
    </xf>
    <xf numFmtId="49" fontId="15" fillId="0" borderId="4" xfId="2" quotePrefix="1" applyNumberFormat="1" applyFont="1" applyBorder="1" applyAlignment="1">
      <alignment horizontal="left"/>
    </xf>
    <xf numFmtId="49" fontId="15" fillId="0" borderId="4" xfId="0" quotePrefix="1" applyNumberFormat="1" applyFont="1" applyBorder="1" applyAlignment="1">
      <alignment horizontal="left"/>
    </xf>
    <xf numFmtId="49" fontId="15" fillId="0" borderId="5" xfId="2" quotePrefix="1" applyNumberFormat="1" applyFont="1" applyFill="1" applyBorder="1" applyAlignment="1">
      <alignment horizontal="left"/>
    </xf>
    <xf numFmtId="9" fontId="12" fillId="0" borderId="5" xfId="2" applyBorder="1"/>
    <xf numFmtId="7" fontId="0" fillId="0" borderId="5" xfId="1" applyNumberFormat="1" applyFont="1" applyBorder="1"/>
    <xf numFmtId="164" fontId="0" fillId="0" borderId="5" xfId="1" applyNumberFormat="1" applyFont="1" applyBorder="1" applyAlignment="1"/>
    <xf numFmtId="44" fontId="16" fillId="0" borderId="5" xfId="1" applyFont="1" applyFill="1" applyBorder="1" applyAlignment="1">
      <alignment horizontal="center"/>
    </xf>
    <xf numFmtId="164" fontId="16" fillId="0" borderId="5" xfId="1" applyNumberFormat="1" applyFont="1" applyFill="1" applyBorder="1" applyAlignment="1"/>
    <xf numFmtId="165" fontId="15" fillId="0" borderId="4" xfId="2" quotePrefix="1" applyNumberFormat="1" applyFont="1" applyFill="1" applyBorder="1" applyAlignment="1">
      <alignment horizontal="left"/>
    </xf>
    <xf numFmtId="0" fontId="15" fillId="0" borderId="4" xfId="2" quotePrefix="1" applyNumberFormat="1" applyFont="1" applyFill="1" applyBorder="1" applyAlignment="1">
      <alignment horizontal="left"/>
    </xf>
    <xf numFmtId="0" fontId="16" fillId="0" borderId="0" xfId="0" applyFont="1" applyAlignment="1">
      <alignment horizontal="centerContinuous"/>
    </xf>
    <xf numFmtId="0" fontId="0" fillId="0" borderId="0" xfId="0" applyAlignment="1">
      <alignment horizontal="centerContinuous"/>
    </xf>
    <xf numFmtId="0" fontId="16" fillId="0" borderId="0" xfId="0" applyFont="1" applyAlignment="1">
      <alignment horizontal="center"/>
    </xf>
    <xf numFmtId="9" fontId="0" fillId="0" borderId="0" xfId="2" applyFont="1"/>
    <xf numFmtId="168" fontId="0" fillId="0" borderId="0" xfId="47" applyNumberFormat="1" applyFont="1"/>
    <xf numFmtId="168" fontId="0" fillId="0" borderId="0" xfId="0" applyNumberFormat="1"/>
    <xf numFmtId="49" fontId="16" fillId="0" borderId="0" xfId="0" applyNumberFormat="1" applyFont="1"/>
    <xf numFmtId="49" fontId="0" fillId="0" borderId="0" xfId="0" applyNumberFormat="1"/>
    <xf numFmtId="164" fontId="12" fillId="0" borderId="18" xfId="10" applyNumberFormat="1" applyFill="1" applyBorder="1"/>
    <xf numFmtId="0" fontId="31" fillId="2" borderId="18" xfId="10" applyFont="1" applyFill="1" applyBorder="1" applyAlignment="1">
      <alignment wrapText="1"/>
    </xf>
    <xf numFmtId="0" fontId="31" fillId="2" borderId="18" xfId="0" applyFont="1" applyFill="1" applyBorder="1" applyAlignment="1">
      <alignment horizontal="center" wrapText="1"/>
    </xf>
    <xf numFmtId="164" fontId="12" fillId="0" borderId="18" xfId="2" applyNumberFormat="1" applyFill="1" applyBorder="1"/>
    <xf numFmtId="164" fontId="12" fillId="0" borderId="18" xfId="22" applyNumberFormat="1" applyFill="1" applyBorder="1"/>
    <xf numFmtId="0" fontId="31" fillId="2" borderId="18" xfId="22" applyFont="1" applyFill="1" applyBorder="1" applyAlignment="1">
      <alignment wrapText="1"/>
    </xf>
    <xf numFmtId="9" fontId="31" fillId="2" borderId="18" xfId="0" applyNumberFormat="1" applyFont="1" applyFill="1" applyBorder="1" applyAlignment="1">
      <alignment horizontal="center" wrapText="1"/>
    </xf>
    <xf numFmtId="9" fontId="12" fillId="0" borderId="18" xfId="2" applyNumberFormat="1" applyFill="1" applyBorder="1"/>
    <xf numFmtId="9" fontId="12" fillId="0" borderId="18" xfId="22" applyNumberFormat="1" applyFill="1" applyBorder="1"/>
    <xf numFmtId="9" fontId="12" fillId="0" borderId="0" xfId="22" applyNumberFormat="1"/>
    <xf numFmtId="9" fontId="31" fillId="2" borderId="18" xfId="22" applyNumberFormat="1" applyFont="1" applyFill="1" applyBorder="1" applyAlignment="1">
      <alignment wrapText="1"/>
    </xf>
    <xf numFmtId="44" fontId="12" fillId="0" borderId="0" xfId="22" applyNumberFormat="1"/>
    <xf numFmtId="164" fontId="0" fillId="0" borderId="5" xfId="11" applyNumberFormat="1" applyFont="1" applyFill="1" applyBorder="1"/>
    <xf numFmtId="0" fontId="32" fillId="0" borderId="0" xfId="0" applyFont="1" applyAlignment="1">
      <alignment vertical="center"/>
    </xf>
    <xf numFmtId="3" fontId="16" fillId="0" borderId="0" xfId="0" applyNumberFormat="1" applyFont="1"/>
    <xf numFmtId="0" fontId="32" fillId="0" borderId="0" xfId="0" applyFont="1" applyFill="1" applyAlignment="1">
      <alignment vertical="center"/>
    </xf>
    <xf numFmtId="164" fontId="16" fillId="0" borderId="4" xfId="1" applyNumberFormat="1" applyFont="1" applyBorder="1" applyAlignment="1">
      <alignment wrapText="1"/>
    </xf>
    <xf numFmtId="0" fontId="16" fillId="8" borderId="6"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24" fillId="0" borderId="0" xfId="10" applyFont="1" applyAlignment="1">
      <alignment horizontal="left" wrapText="1"/>
    </xf>
  </cellXfs>
  <cellStyles count="51">
    <cellStyle name="40% - Accent2" xfId="50" builtinId="35"/>
    <cellStyle name="40% - Accent2 2" xfId="37" xr:uid="{00000000-0005-0000-0000-000001000000}"/>
    <cellStyle name="40% - Accent2 3" xfId="30" xr:uid="{00000000-0005-0000-0000-000002000000}"/>
    <cellStyle name="40% - Accent5" xfId="20" builtinId="47"/>
    <cellStyle name="40% - Accent5 2" xfId="38" xr:uid="{00000000-0005-0000-0000-000004000000}"/>
    <cellStyle name="40% - Accent5 3" xfId="31" xr:uid="{00000000-0005-0000-0000-000005000000}"/>
    <cellStyle name="Comma" xfId="47" builtinId="3"/>
    <cellStyle name="Comma [0] 2" xfId="35" xr:uid="{00000000-0005-0000-0000-000007000000}"/>
    <cellStyle name="Comma 2" xfId="25" xr:uid="{00000000-0005-0000-0000-000008000000}"/>
    <cellStyle name="Comma 2 2" xfId="34" xr:uid="{00000000-0005-0000-0000-000009000000}"/>
    <cellStyle name="Comma 3" xfId="28" xr:uid="{00000000-0005-0000-0000-00000A000000}"/>
    <cellStyle name="Comma 3 2" xfId="42" xr:uid="{00000000-0005-0000-0000-00000B000000}"/>
    <cellStyle name="Comma 4" xfId="45" xr:uid="{00000000-0005-0000-0000-00000C000000}"/>
    <cellStyle name="Currency" xfId="1" builtinId="4"/>
    <cellStyle name="Currency [0] 2" xfId="33" xr:uid="{00000000-0005-0000-0000-00000E000000}"/>
    <cellStyle name="Currency 10 10" xfId="5" xr:uid="{00000000-0005-0000-0000-00000F000000}"/>
    <cellStyle name="Currency 11 2 3" xfId="11" xr:uid="{00000000-0005-0000-0000-000010000000}"/>
    <cellStyle name="Currency 2" xfId="8" xr:uid="{00000000-0005-0000-0000-000011000000}"/>
    <cellStyle name="Currency 2 10" xfId="13" xr:uid="{00000000-0005-0000-0000-000012000000}"/>
    <cellStyle name="Currency 3 25" xfId="12" xr:uid="{00000000-0005-0000-0000-000013000000}"/>
    <cellStyle name="Followed Hyperlink" xfId="16" builtinId="9" hidden="1"/>
    <cellStyle name="Followed Hyperlink" xfId="17" builtinId="9" hidden="1"/>
    <cellStyle name="Followed Hyperlink" xfId="15" builtinId="9" hidden="1"/>
    <cellStyle name="Followed Hyperlink" xfId="14" builtinId="9" hidden="1"/>
    <cellStyle name="Followed Hyperlink" xfId="18" builtinId="9" hidden="1"/>
    <cellStyle name="Followed Hyperlink" xfId="19" builtinId="9" hidden="1"/>
    <cellStyle name="Hyperlink" xfId="9" builtinId="8"/>
    <cellStyle name="Hyperlink 2" xfId="36" xr:uid="{00000000-0005-0000-0000-00001B000000}"/>
    <cellStyle name="Hyperlink 3" xfId="29" xr:uid="{00000000-0005-0000-0000-00001C000000}"/>
    <cellStyle name="Hyperlink 5" xfId="46" xr:uid="{00000000-0005-0000-0000-00001D000000}"/>
    <cellStyle name="Normal" xfId="0" builtinId="0"/>
    <cellStyle name="Normal 2" xfId="23" xr:uid="{00000000-0005-0000-0000-00001F000000}"/>
    <cellStyle name="Normal 2 2" xfId="3" xr:uid="{00000000-0005-0000-0000-000020000000}"/>
    <cellStyle name="Normal 2 2 2" xfId="32" xr:uid="{00000000-0005-0000-0000-000021000000}"/>
    <cellStyle name="Normal 2 2 5" xfId="22" xr:uid="{00000000-0005-0000-0000-000022000000}"/>
    <cellStyle name="Normal 2 3" xfId="40" xr:uid="{00000000-0005-0000-0000-000023000000}"/>
    <cellStyle name="Normal 3" xfId="26" xr:uid="{00000000-0005-0000-0000-000024000000}"/>
    <cellStyle name="Normal 3 2" xfId="43" xr:uid="{00000000-0005-0000-0000-000025000000}"/>
    <cellStyle name="Normal 3 3 2" xfId="10" xr:uid="{00000000-0005-0000-0000-000026000000}"/>
    <cellStyle name="Normal 4" xfId="48" xr:uid="{00000000-0005-0000-0000-000027000000}"/>
    <cellStyle name="Normal 5" xfId="49" xr:uid="{00000000-0005-0000-0000-000028000000}"/>
    <cellStyle name="Percent" xfId="2" builtinId="5"/>
    <cellStyle name="Percent 18" xfId="39" xr:uid="{00000000-0005-0000-0000-00002A000000}"/>
    <cellStyle name="Percent 2" xfId="7" xr:uid="{00000000-0005-0000-0000-00002B000000}"/>
    <cellStyle name="Percent 2 2" xfId="4" xr:uid="{00000000-0005-0000-0000-00002C000000}"/>
    <cellStyle name="Percent 3" xfId="24" xr:uid="{00000000-0005-0000-0000-00002D000000}"/>
    <cellStyle name="Percent 3 2" xfId="41" xr:uid="{00000000-0005-0000-0000-00002E000000}"/>
    <cellStyle name="Percent 4" xfId="27" xr:uid="{00000000-0005-0000-0000-00002F000000}"/>
    <cellStyle name="Percent 4 2" xfId="44" xr:uid="{00000000-0005-0000-0000-000030000000}"/>
    <cellStyle name="Percent 5 10" xfId="6" xr:uid="{00000000-0005-0000-0000-000031000000}"/>
    <cellStyle name="Percent 5 10 2" xfId="21" xr:uid="{00000000-0005-0000-0000-000032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D1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govind01\Documents\El%20Paso%20Managed%20Care%20Rates%20UMC%20Proposal\URI%20Applications\Bexar%20SDA\Bexar%20SDA%20Application%20-%2095%25%20Compliance%20Version%20with%20Actuarial%20Adjust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govind01\Documents\El%20Paso%20Managed%20Care%20Rates%20UMC%20Proposal\URI%20Applications\MRSA%20West%20SDA\MRSA%20West%20Application%20-%2095%25%20Compliance%20with%20Actuarial%20Adjustmen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00R1004VFSRV01.txhhsc.txnet.state.tx.us\MyDocs1$\AC%20&amp;%20Hosp\UHRIP\PGY3\Actuarial\SFY20%20UHRIP%20Workbook%20-%2020190424%20PREL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ar"/>
      <sheetName val="Analysis"/>
      <sheetName val="Hospital Classes"/>
      <sheetName val="IGT Sufficiency"/>
      <sheetName val="Bexar Actuarial Adjustment"/>
      <sheetName val="Budget Neutrality Adjustment"/>
    </sheetNames>
    <sheetDataSet>
      <sheetData sheetId="0">
        <row r="19">
          <cell r="M19">
            <v>154840451.74021089</v>
          </cell>
        </row>
      </sheetData>
      <sheetData sheetId="1"/>
      <sheetData sheetId="2"/>
      <sheetData sheetId="3"/>
      <sheetData sheetId="4">
        <row r="19">
          <cell r="M19">
            <v>154840451.74021089</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RSA West"/>
      <sheetName val="Participants"/>
      <sheetName val="Sheet3"/>
      <sheetName val="95% Class Test"/>
      <sheetName val="IGT Sufficiency"/>
      <sheetName val="Hospital Classes"/>
      <sheetName val="MRSA West Actuarial Adjustment"/>
      <sheetName val="Budget Neutrality Adjustment"/>
    </sheetNames>
    <sheetDataSet>
      <sheetData sheetId="0"/>
      <sheetData sheetId="1"/>
      <sheetData sheetId="2"/>
      <sheetData sheetId="3"/>
      <sheetData sheetId="4"/>
      <sheetData sheetId="5">
        <row r="2">
          <cell r="B2" t="str">
            <v>Non-urban Public Hospital</v>
          </cell>
        </row>
        <row r="3">
          <cell r="B3" t="str">
            <v>Rural Private Hospital</v>
          </cell>
        </row>
        <row r="4">
          <cell r="B4" t="str">
            <v>Rural Public Hospital</v>
          </cell>
        </row>
        <row r="5">
          <cell r="B5" t="str">
            <v>State-owned Hospital</v>
          </cell>
        </row>
        <row r="6">
          <cell r="B6" t="str">
            <v>Urban Public Hospital</v>
          </cell>
        </row>
        <row r="7">
          <cell r="B7" t="str">
            <v>Children's Hospital</v>
          </cell>
        </row>
        <row r="8">
          <cell r="B8" t="str">
            <v>Institution for Mental Disease</v>
          </cell>
        </row>
        <row r="9">
          <cell r="B9" t="str">
            <v>Other</v>
          </cell>
        </row>
      </sheetData>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spitals"/>
      <sheetName val="assumptions"/>
      <sheetName val="Bexar"/>
      <sheetName val="Dallas"/>
      <sheetName val="El Paso"/>
      <sheetName val="Harris"/>
      <sheetName val="Hidalgo"/>
      <sheetName val="Jefferson"/>
      <sheetName val="Lubbock"/>
      <sheetName val="MRSA Central"/>
      <sheetName val="MRSA Northeast"/>
      <sheetName val="MRSA West"/>
      <sheetName val="Nueces"/>
      <sheetName val="Tarrant"/>
      <sheetName val="Travis"/>
    </sheetNames>
    <sheetDataSet>
      <sheetData sheetId="0"/>
      <sheetData sheetId="1">
        <row r="7">
          <cell r="B7">
            <v>8.2900000000000001E-2</v>
          </cell>
        </row>
        <row r="8">
          <cell r="B8">
            <v>8.5400000000000004E-2</v>
          </cell>
        </row>
      </sheetData>
      <sheetData sheetId="2">
        <row r="5">
          <cell r="A5" t="str">
            <v>Childrens</v>
          </cell>
        </row>
      </sheetData>
      <sheetData sheetId="3"/>
      <sheetData sheetId="4"/>
      <sheetData sheetId="5"/>
      <sheetData sheetId="6"/>
      <sheetData sheetId="7"/>
      <sheetData sheetId="8"/>
      <sheetData sheetId="9"/>
      <sheetData sheetId="10"/>
      <sheetData sheetId="11"/>
      <sheetData sheetId="12"/>
      <sheetData sheetId="13"/>
      <sheetData sheetId="14">
        <row r="5">
          <cell r="A5" t="str">
            <v>Childrens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O17"/>
  <sheetViews>
    <sheetView zoomScaleNormal="100" workbookViewId="0">
      <selection activeCell="Q10" sqref="Q10"/>
    </sheetView>
  </sheetViews>
  <sheetFormatPr defaultColWidth="8.7109375" defaultRowHeight="12.75"/>
  <cols>
    <col min="1" max="1" width="25.7109375" style="24" customWidth="1"/>
    <col min="2" max="2" width="16.140625" style="23" customWidth="1"/>
    <col min="3" max="3" width="11.140625" style="23" customWidth="1"/>
    <col min="4" max="4" width="14" style="23" bestFit="1" customWidth="1"/>
    <col min="5" max="5" width="15" style="23" bestFit="1" customWidth="1"/>
    <col min="6" max="6" width="15.5703125" style="23" bestFit="1" customWidth="1"/>
    <col min="7" max="7" width="16" style="23" customWidth="1"/>
    <col min="8" max="8" width="17.42578125" style="23" customWidth="1"/>
    <col min="9" max="9" width="11.7109375" style="23" customWidth="1"/>
    <col min="10" max="11" width="13.42578125" style="23" bestFit="1" customWidth="1"/>
    <col min="12" max="12" width="14.7109375" style="23" hidden="1" customWidth="1"/>
    <col min="13" max="13" width="14.7109375" style="147" hidden="1" customWidth="1"/>
    <col min="14" max="14" width="14.7109375" style="23" hidden="1" customWidth="1"/>
    <col min="15" max="15" width="14.7109375" style="147" hidden="1" customWidth="1"/>
    <col min="16" max="16384" width="8.7109375" style="23"/>
  </cols>
  <sheetData>
    <row r="1" spans="1:15" ht="75">
      <c r="A1" s="35" t="s">
        <v>75</v>
      </c>
      <c r="B1" s="7" t="s">
        <v>79</v>
      </c>
      <c r="C1" s="7" t="s">
        <v>12</v>
      </c>
      <c r="D1" s="7" t="s">
        <v>14</v>
      </c>
      <c r="E1" s="7" t="s">
        <v>13</v>
      </c>
      <c r="F1" s="35" t="s">
        <v>306</v>
      </c>
      <c r="G1" s="7" t="s">
        <v>15</v>
      </c>
      <c r="H1" s="7" t="s">
        <v>77</v>
      </c>
      <c r="I1" s="35" t="s">
        <v>401</v>
      </c>
      <c r="J1" s="35" t="s">
        <v>305</v>
      </c>
      <c r="K1" s="35" t="s">
        <v>402</v>
      </c>
      <c r="L1" s="140" t="s">
        <v>421</v>
      </c>
      <c r="M1" s="144" t="s">
        <v>422</v>
      </c>
      <c r="N1" s="143" t="s">
        <v>423</v>
      </c>
      <c r="O1" s="148" t="s">
        <v>422</v>
      </c>
    </row>
    <row r="2" spans="1:15" ht="30" customHeight="1">
      <c r="A2" s="35" t="s">
        <v>17</v>
      </c>
      <c r="B2" s="49">
        <f>SUMIF('2. Analysis'!$I:$I,A2,'2. Analysis'!R:R)</f>
        <v>103064307.12773207</v>
      </c>
      <c r="C2" s="48">
        <f>IFERROR(INDEX('2. Analysis'!S:S,MATCH(A2,'2. Analysis'!I:I,0)),0)</f>
        <v>0.27421278956941958</v>
      </c>
      <c r="D2" s="49">
        <f>SUMIF('2. Analysis'!$I:$I,A2,'2. Analysis'!X:X)</f>
        <v>91893445.410114273</v>
      </c>
      <c r="E2" s="49">
        <f>SUMIF('2. Analysis'!$I:$I,A2,'2. Analysis'!W:W)</f>
        <v>97911091.771345451</v>
      </c>
      <c r="F2" s="49">
        <f>SUMIF('2. Analysis'!$I:$I,A2,'2. Analysis'!Y:Y)</f>
        <v>427010729.88983971</v>
      </c>
      <c r="G2" s="49">
        <f>SUMIF('2. Analysis'!$I:$I,A2,'2. Analysis'!Z:Z)</f>
        <v>-6017646.3612311902</v>
      </c>
      <c r="H2" s="47" t="str">
        <f t="shared" ref="H2:H9" si="0">IF(G2&gt;0,"Yes","No")</f>
        <v>No</v>
      </c>
      <c r="I2" s="123">
        <f>IFERROR(INDEX('2. Analysis'!V:V,MATCH('NEW 1. Summary'!A:A,'2. Analysis'!I:I,0)),0)</f>
        <v>0.21</v>
      </c>
      <c r="J2" s="125">
        <f>SUMIF('2. Analysis'!I:I,A:A,'2. Analysis'!Q:Q)</f>
        <v>335117284.47972548</v>
      </c>
      <c r="K2" s="125">
        <f t="shared" ref="K2:K9" si="1">I:I*J:J</f>
        <v>70374629.740742356</v>
      </c>
      <c r="L2" s="141">
        <f t="shared" ref="L2:L9" si="2">E:E-K:K</f>
        <v>27536462.030603096</v>
      </c>
      <c r="M2" s="145">
        <f t="shared" ref="M2:M9" si="3">L:L/J:J</f>
        <v>8.2169626294728002E-2</v>
      </c>
      <c r="N2" s="142">
        <f t="shared" ref="N2:N9" si="4">(0.81-I:I)*J:J</f>
        <v>201070370.68783531</v>
      </c>
      <c r="O2" s="146">
        <f t="shared" ref="O2:O9" si="5">N:N/J:J</f>
        <v>0.60000000000000009</v>
      </c>
    </row>
    <row r="3" spans="1:15" ht="30" customHeight="1">
      <c r="A3" s="35" t="s">
        <v>68</v>
      </c>
      <c r="B3" s="49">
        <f>SUMIF('2. Analysis'!$I:$I,A3,'2. Analysis'!R:R)</f>
        <v>16461204.919988571</v>
      </c>
      <c r="C3" s="48">
        <f>IFERROR(INDEX('2. Analysis'!S:S,MATCH(A3,'2. Analysis'!I:I,0)),0)</f>
        <v>0.81</v>
      </c>
      <c r="D3" s="49">
        <f>SUMIF('2. Analysis'!$I:$I,A3,'2. Analysis'!X:X)</f>
        <v>5791551.9168104455</v>
      </c>
      <c r="E3" s="49">
        <f>SUMIF('2. Analysis'!$I:$I,A3,'2. Analysis'!W:W)</f>
        <v>15638144.673989141</v>
      </c>
      <c r="F3" s="49">
        <f>SUMIF('2. Analysis'!$I:$I,A3,'2. Analysis'!Y:Y)</f>
        <v>12941616.011638155</v>
      </c>
      <c r="G3" s="49">
        <f>SUMIF('2. Analysis'!$I:$I,A3,'2. Analysis'!Z:Z)</f>
        <v>-13869661.217178695</v>
      </c>
      <c r="H3" s="47" t="str">
        <f t="shared" si="0"/>
        <v>No</v>
      </c>
      <c r="I3" s="123">
        <f>IFERROR(INDEX('2. Analysis'!V:V,MATCH('NEW 1. Summary'!A:A,'2. Analysis'!I:I,0)),0)</f>
        <v>0.63</v>
      </c>
      <c r="J3" s="125">
        <f>SUMIF('2. Analysis'!I:I,A:A,'2. Analysis'!Q:Q)</f>
        <v>7150064.0948277097</v>
      </c>
      <c r="K3" s="125">
        <f t="shared" si="1"/>
        <v>4504540.3797414573</v>
      </c>
      <c r="L3" s="142">
        <f t="shared" si="2"/>
        <v>11133604.294247683</v>
      </c>
      <c r="M3" s="146">
        <f t="shared" si="3"/>
        <v>1.557133495111132</v>
      </c>
      <c r="N3" s="142">
        <f t="shared" si="4"/>
        <v>1287011.5370689882</v>
      </c>
      <c r="O3" s="146">
        <f t="shared" si="5"/>
        <v>0.18000000000000005</v>
      </c>
    </row>
    <row r="4" spans="1:15" ht="30" customHeight="1">
      <c r="A4" s="35" t="s">
        <v>24</v>
      </c>
      <c r="B4" s="49">
        <f>SUMIF('2. Analysis'!$I:$I,A4,'2. Analysis'!R:R)</f>
        <v>6231174.6226053098</v>
      </c>
      <c r="C4" s="48">
        <f>IFERROR(INDEX('2. Analysis'!S:S,MATCH(A4,'2. Analysis'!I:I,0)),0)</f>
        <v>0.81</v>
      </c>
      <c r="D4" s="49">
        <f>SUMIF('2. Analysis'!$I:$I,A4,'2. Analysis'!X:X)</f>
        <v>3061205.8151193359</v>
      </c>
      <c r="E4" s="49">
        <f>SUMIF('2. Analysis'!$I:$I,A4,'2. Analysis'!W:W)</f>
        <v>5919615.8914750442</v>
      </c>
      <c r="F4" s="49">
        <f>SUMIF('2. Analysis'!$I:$I,A4,'2. Analysis'!Y:Y)</f>
        <v>6840472.2535382686</v>
      </c>
      <c r="G4" s="49">
        <f>SUMIF('2. Analysis'!$I:$I,A4,'2. Analysis'!Z:Z)</f>
        <v>-2858410.0763557083</v>
      </c>
      <c r="H4" s="47" t="str">
        <f t="shared" si="0"/>
        <v>No</v>
      </c>
      <c r="I4" s="123">
        <f>IFERROR(INDEX('2. Analysis'!V:V,MATCH('NEW 1. Summary'!A:A,'2. Analysis'!I:I,0)),0)</f>
        <v>0.63</v>
      </c>
      <c r="J4" s="125">
        <f>SUMIF('2. Analysis'!I:I,A:A,'2. Analysis'!Q:Q)</f>
        <v>3779266.4384189327</v>
      </c>
      <c r="K4" s="125">
        <f t="shared" si="1"/>
        <v>2380937.8562039277</v>
      </c>
      <c r="L4" s="142">
        <f t="shared" si="2"/>
        <v>3538678.0352711165</v>
      </c>
      <c r="M4" s="146">
        <f t="shared" si="3"/>
        <v>0.9363399201754965</v>
      </c>
      <c r="N4" s="142">
        <f t="shared" si="4"/>
        <v>680267.95891540812</v>
      </c>
      <c r="O4" s="146">
        <f t="shared" si="5"/>
        <v>0.18000000000000005</v>
      </c>
    </row>
    <row r="5" spans="1:15" ht="30" customHeight="1">
      <c r="A5" s="35" t="s">
        <v>25</v>
      </c>
      <c r="B5" s="49">
        <f>SUMIF('2. Analysis'!$I:$I,A5,'2. Analysis'!R:R)</f>
        <v>0</v>
      </c>
      <c r="C5" s="48">
        <f>IFERROR(INDEX('2. Analysis'!S:S,MATCH(A5,'2. Analysis'!I:I,0)),0)</f>
        <v>0</v>
      </c>
      <c r="D5" s="49">
        <f>SUMIF('2. Analysis'!$I:$I,A5,'2. Analysis'!X:X)</f>
        <v>0</v>
      </c>
      <c r="E5" s="49">
        <f>SUMIF('2. Analysis'!$I:$I,A5,'2. Analysis'!W:W)</f>
        <v>0</v>
      </c>
      <c r="F5" s="49">
        <f>SUMIF('2. Analysis'!$I:$I,A5,'2. Analysis'!Y:Y)</f>
        <v>0</v>
      </c>
      <c r="G5" s="49">
        <f>SUMIF('2. Analysis'!$I:$I,A5,'2. Analysis'!Z:Z)</f>
        <v>0</v>
      </c>
      <c r="H5" s="47" t="str">
        <f t="shared" si="0"/>
        <v>No</v>
      </c>
      <c r="I5" s="123">
        <f>IFERROR(INDEX('2. Analysis'!V:V,MATCH('NEW 1. Summary'!A:A,'2. Analysis'!I:I,0)),0)</f>
        <v>0</v>
      </c>
      <c r="J5" s="125">
        <f>SUMIF('2. Analysis'!I:I,A:A,'2. Analysis'!Q:Q)</f>
        <v>0</v>
      </c>
      <c r="K5" s="125">
        <f t="shared" si="1"/>
        <v>0</v>
      </c>
      <c r="L5" s="142">
        <f t="shared" si="2"/>
        <v>0</v>
      </c>
      <c r="M5" s="146" t="e">
        <f t="shared" si="3"/>
        <v>#DIV/0!</v>
      </c>
      <c r="N5" s="142">
        <f t="shared" si="4"/>
        <v>0</v>
      </c>
      <c r="O5" s="146" t="e">
        <f t="shared" si="5"/>
        <v>#DIV/0!</v>
      </c>
    </row>
    <row r="6" spans="1:15" ht="30" customHeight="1">
      <c r="A6" s="35" t="s">
        <v>69</v>
      </c>
      <c r="B6" s="49">
        <f>SUMIF('2. Analysis'!$I:$I,A6,'2. Analysis'!R:R)</f>
        <v>79925675.327470914</v>
      </c>
      <c r="C6" s="48">
        <f>IFERROR(INDEX('2. Analysis'!S:S,MATCH(A6,'2. Analysis'!I:I,0)),0)</f>
        <v>0.81</v>
      </c>
      <c r="D6" s="49">
        <f>SUMIF('2. Analysis'!$I:$I,A6,'2. Analysis'!X:X)</f>
        <v>2650182.7832875359</v>
      </c>
      <c r="E6" s="49">
        <f>SUMIF('2. Analysis'!$I:$I,A6,'2. Analysis'!W:W)</f>
        <v>75929391.561097369</v>
      </c>
      <c r="F6" s="49">
        <f>SUMIF('2. Analysis'!$I:$I,A6,'2. Analysis'!Y:Y)</f>
        <v>5922013.3799388148</v>
      </c>
      <c r="G6" s="49">
        <f>SUMIF('2. Analysis'!$I:$I,A6,'2. Analysis'!Z:Z)</f>
        <v>-79678478.678727686</v>
      </c>
      <c r="H6" s="47" t="str">
        <f t="shared" si="0"/>
        <v>No</v>
      </c>
      <c r="I6" s="123">
        <f>IFERROR(INDEX('2. Analysis'!V:V,MATCH('NEW 1. Summary'!A:A,'2. Analysis'!I:I,0)),0)</f>
        <v>0.63</v>
      </c>
      <c r="J6" s="125">
        <f>SUMIF('2. Analysis'!I:I,A:A,'2. Analysis'!Q:Q)</f>
        <v>3271830.5966512784</v>
      </c>
      <c r="K6" s="125">
        <f t="shared" si="1"/>
        <v>2061253.2758903054</v>
      </c>
      <c r="L6" s="142">
        <f t="shared" si="2"/>
        <v>73868138.285207063</v>
      </c>
      <c r="M6" s="146">
        <f t="shared" si="3"/>
        <v>22.577005777992042</v>
      </c>
      <c r="N6" s="142">
        <f t="shared" si="4"/>
        <v>588929.50739723025</v>
      </c>
      <c r="O6" s="146">
        <f t="shared" si="5"/>
        <v>0.18000000000000005</v>
      </c>
    </row>
    <row r="7" spans="1:15" ht="30" customHeight="1">
      <c r="A7" s="35" t="s">
        <v>26</v>
      </c>
      <c r="B7" s="49">
        <f>SUMIF('2. Analysis'!$I:$I,A7,'2. Analysis'!R:R)</f>
        <v>237041262.61840421</v>
      </c>
      <c r="C7" s="48">
        <f>IFERROR(INDEX('2. Analysis'!S:S,MATCH(A7,'2. Analysis'!I:I,0)),0)</f>
        <v>0.81</v>
      </c>
      <c r="D7" s="49">
        <f>SUMIF('2. Analysis'!$I:$I,A7,'2. Analysis'!X:X)</f>
        <v>79451586.736277059</v>
      </c>
      <c r="E7" s="49">
        <f>SUMIF('2. Analysis'!$I:$I,A7,'2. Analysis'!W:W)</f>
        <v>225189199.48748398</v>
      </c>
      <c r="F7" s="49">
        <f>SUMIF('2. Analysis'!$I:$I,A7,'2. Analysis'!Y:Y)</f>
        <v>177539965.42303884</v>
      </c>
      <c r="G7" s="49">
        <f>SUMIF('2. Analysis'!$I:$I,A7,'2. Analysis'!Z:Z)</f>
        <v>-190780419.55120692</v>
      </c>
      <c r="H7" s="47" t="str">
        <f t="shared" si="0"/>
        <v>No</v>
      </c>
      <c r="I7" s="123">
        <f>IFERROR(INDEX('2. Analysis'!V:V,MATCH('NEW 1. Summary'!A:A,'2. Analysis'!I:I,0)),0)</f>
        <v>0.63</v>
      </c>
      <c r="J7" s="125">
        <f>SUMIF('2. Analysis'!I:I,A:A,'2. Analysis'!Q:Q)</f>
        <v>98088378.686761796</v>
      </c>
      <c r="K7" s="125">
        <f t="shared" si="1"/>
        <v>61795678.572659932</v>
      </c>
      <c r="L7" s="142">
        <f t="shared" si="2"/>
        <v>163393520.91482404</v>
      </c>
      <c r="M7" s="146">
        <f t="shared" si="3"/>
        <v>1.6657785876613327</v>
      </c>
      <c r="N7" s="142">
        <f t="shared" si="4"/>
        <v>17655908.163617127</v>
      </c>
      <c r="O7" s="146">
        <f t="shared" si="5"/>
        <v>0.18000000000000002</v>
      </c>
    </row>
    <row r="8" spans="1:15" ht="30" customHeight="1">
      <c r="A8" s="35" t="s">
        <v>76</v>
      </c>
      <c r="B8" s="49">
        <f>SUMIF('2. Analysis'!$I:$I,A8,'2. Analysis'!R:R)</f>
        <v>0</v>
      </c>
      <c r="C8" s="48">
        <f>IFERROR(INDEX('2. Analysis'!S:S,MATCH(A8,'2. Analysis'!I:I,0)),0)</f>
        <v>0</v>
      </c>
      <c r="D8" s="49">
        <f>SUMIF('2. Analysis'!$I:$I,A8,'2. Analysis'!X:X)</f>
        <v>0</v>
      </c>
      <c r="E8" s="49">
        <f>SUMIF('2. Analysis'!$I:$I,A8,'2. Analysis'!W:W)</f>
        <v>0</v>
      </c>
      <c r="F8" s="49">
        <f>SUMIF('2. Analysis'!$I:$I,A8,'2. Analysis'!Y:Y)</f>
        <v>0</v>
      </c>
      <c r="G8" s="49">
        <f>SUMIF('2. Analysis'!$I:$I,A8,'2. Analysis'!Z:Z)</f>
        <v>0</v>
      </c>
      <c r="H8" s="47" t="str">
        <f t="shared" si="0"/>
        <v>No</v>
      </c>
      <c r="I8" s="123">
        <f>IFERROR(INDEX('2. Analysis'!V:V,MATCH('NEW 1. Summary'!A:A,'2. Analysis'!I:I,0)),0)</f>
        <v>0</v>
      </c>
      <c r="J8" s="125">
        <f>SUMIF('2. Analysis'!I:I,A:A,'2. Analysis'!Q:Q)</f>
        <v>0</v>
      </c>
      <c r="K8" s="125">
        <f t="shared" si="1"/>
        <v>0</v>
      </c>
      <c r="L8" s="142">
        <f t="shared" si="2"/>
        <v>0</v>
      </c>
      <c r="M8" s="146" t="e">
        <f t="shared" si="3"/>
        <v>#DIV/0!</v>
      </c>
      <c r="N8" s="142">
        <f t="shared" si="4"/>
        <v>0</v>
      </c>
      <c r="O8" s="146" t="e">
        <f t="shared" si="5"/>
        <v>#DIV/0!</v>
      </c>
    </row>
    <row r="9" spans="1:15" ht="30" customHeight="1">
      <c r="A9" s="35" t="s">
        <v>20</v>
      </c>
      <c r="B9" s="49">
        <f>SUMIF('2. Analysis'!$I:$I,A9,'2. Analysis'!R:R)</f>
        <v>607898321.31456316</v>
      </c>
      <c r="C9" s="48">
        <f>IFERROR(INDEX('2. Analysis'!S:S,MATCH(A9,'2. Analysis'!I:I,0)),0)</f>
        <v>0.81</v>
      </c>
      <c r="D9" s="49">
        <f>SUMIF('2. Analysis'!$I:$I,A9,'2. Analysis'!X:X)</f>
        <v>137168816.42452487</v>
      </c>
      <c r="E9" s="49">
        <f>SUMIF('2. Analysis'!$I:$I,A9,'2. Analysis'!W:W)</f>
        <v>577503405.24883497</v>
      </c>
      <c r="F9" s="49">
        <f>SUMIF('2. Analysis'!$I:$I,A9,'2. Analysis'!Y:Y)</f>
        <v>306513034.2325803</v>
      </c>
      <c r="G9" s="49">
        <f>SUMIF('2. Analysis'!$I:$I,A9,'2. Analysis'!Z:Z)</f>
        <v>-440334588.82431018</v>
      </c>
      <c r="H9" s="47" t="str">
        <f t="shared" si="0"/>
        <v>No</v>
      </c>
      <c r="I9" s="123">
        <f>IFERROR(INDEX('2. Analysis'!V:V,MATCH('NEW 1. Summary'!A:A,'2. Analysis'!I:I,0)),0)</f>
        <v>0.63</v>
      </c>
      <c r="J9" s="125">
        <f>SUMIF('2. Analysis'!I:I,A:A,'2. Analysis'!Q:Q)</f>
        <v>169344217.80805537</v>
      </c>
      <c r="K9" s="125">
        <f t="shared" si="1"/>
        <v>106686857.21907489</v>
      </c>
      <c r="L9" s="142">
        <f t="shared" si="2"/>
        <v>470816548.02976006</v>
      </c>
      <c r="M9" s="146">
        <f t="shared" si="3"/>
        <v>2.7802339762401043</v>
      </c>
      <c r="N9" s="142">
        <f t="shared" si="4"/>
        <v>30481959.205449976</v>
      </c>
      <c r="O9" s="146">
        <f t="shared" si="5"/>
        <v>0.18000000000000005</v>
      </c>
    </row>
    <row r="10" spans="1:15" ht="30" customHeight="1">
      <c r="A10" s="50" t="s">
        <v>27</v>
      </c>
      <c r="B10" s="51">
        <f>SUM(B2:B9)</f>
        <v>1050621945.9307642</v>
      </c>
      <c r="C10" s="52" t="s">
        <v>78</v>
      </c>
      <c r="D10" s="51">
        <f>SUM(D2:D9)</f>
        <v>320016789.08613348</v>
      </c>
      <c r="E10" s="51">
        <f>SUM(E2:E9)</f>
        <v>998090848.63422596</v>
      </c>
      <c r="F10" s="51">
        <f>SUM(F2:F9)</f>
        <v>936767831.19057405</v>
      </c>
      <c r="G10" s="53" t="s">
        <v>78</v>
      </c>
      <c r="H10" s="54" t="s">
        <v>78</v>
      </c>
      <c r="I10" s="126" t="s">
        <v>78</v>
      </c>
      <c r="J10" s="127">
        <f>SUM(J2:J9)</f>
        <v>616751042.10444057</v>
      </c>
      <c r="K10" s="127">
        <f>SUM(K2:K9)</f>
        <v>247803897.04431289</v>
      </c>
    </row>
    <row r="11" spans="1:15" ht="30" customHeight="1">
      <c r="A11"/>
      <c r="B11"/>
      <c r="C11"/>
      <c r="D11"/>
      <c r="E11"/>
      <c r="F11"/>
      <c r="G11"/>
      <c r="H11"/>
    </row>
    <row r="12" spans="1:15" ht="30" customHeight="1">
      <c r="A12"/>
      <c r="B12"/>
      <c r="C12"/>
      <c r="D12"/>
      <c r="E12"/>
      <c r="F12"/>
      <c r="G12"/>
      <c r="H12"/>
      <c r="K12" s="147"/>
      <c r="L12" s="149"/>
    </row>
    <row r="13" spans="1:15" ht="30" customHeight="1">
      <c r="A13" s="35" t="s">
        <v>53</v>
      </c>
      <c r="B13" s="55">
        <f>$D$10</f>
        <v>320016789.08613348</v>
      </c>
      <c r="C13"/>
      <c r="D13"/>
      <c r="E13"/>
      <c r="F13"/>
      <c r="G13"/>
      <c r="H13"/>
    </row>
    <row r="14" spans="1:15" ht="30" customHeight="1">
      <c r="A14" s="35" t="s">
        <v>397</v>
      </c>
      <c r="B14" s="55">
        <f>'NEW 3. IGT Commitments'!H10</f>
        <v>214500468.38561118</v>
      </c>
      <c r="C14"/>
      <c r="D14"/>
      <c r="E14"/>
      <c r="F14"/>
      <c r="G14"/>
      <c r="H14"/>
    </row>
    <row r="15" spans="1:15" ht="30" customHeight="1">
      <c r="A15" s="35" t="s">
        <v>54</v>
      </c>
      <c r="B15" s="55">
        <f>(B14)/0.3911</f>
        <v>548454278.66430879</v>
      </c>
      <c r="C15"/>
      <c r="D15"/>
      <c r="E15"/>
      <c r="F15"/>
      <c r="G15"/>
      <c r="H15"/>
    </row>
    <row r="16" spans="1:15" ht="30" customHeight="1">
      <c r="A16" s="35" t="s">
        <v>55</v>
      </c>
      <c r="B16" s="55" t="str">
        <f>IF(B15&gt;=B13,"Yes","No")</f>
        <v>Yes</v>
      </c>
      <c r="C16"/>
      <c r="D16"/>
      <c r="E16"/>
      <c r="F16"/>
      <c r="G16"/>
      <c r="H16"/>
    </row>
    <row r="17" spans="1:8" ht="30" customHeight="1">
      <c r="A17" s="35" t="s">
        <v>56</v>
      </c>
      <c r="B17" s="52">
        <f>B15/B13</f>
        <v>1.7138297032181355</v>
      </c>
      <c r="C17"/>
      <c r="D17"/>
      <c r="E17"/>
      <c r="F17"/>
      <c r="G17"/>
      <c r="H17"/>
    </row>
  </sheetData>
  <pageMargins left="0.7" right="0.7" top="0.75" bottom="0.75" header="0.3" footer="0.3"/>
  <pageSetup paperSize="5" scale="81"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80"/>
  <sheetViews>
    <sheetView showGridLines="0" topLeftCell="G1" zoomScale="85" zoomScaleNormal="85" workbookViewId="0">
      <selection activeCell="R14" sqref="R14"/>
    </sheetView>
  </sheetViews>
  <sheetFormatPr defaultColWidth="8.85546875" defaultRowHeight="12.75"/>
  <cols>
    <col min="1" max="1" width="29" customWidth="1"/>
    <col min="2" max="2" width="16" bestFit="1" customWidth="1"/>
    <col min="3" max="3" width="14.42578125" customWidth="1"/>
    <col min="4" max="4" width="110.7109375" bestFit="1" customWidth="1"/>
    <col min="5" max="5" width="20.7109375" bestFit="1" customWidth="1"/>
    <col min="6" max="6" width="34.28515625" bestFit="1" customWidth="1"/>
    <col min="7" max="7" width="19.85546875" bestFit="1" customWidth="1"/>
    <col min="8" max="8" width="26.7109375" customWidth="1"/>
    <col min="9" max="9" width="12.85546875" customWidth="1"/>
    <col min="10" max="10" width="16" style="2" customWidth="1"/>
    <col min="11" max="11" width="19.42578125" customWidth="1"/>
    <col min="12" max="12" width="16" style="2" customWidth="1"/>
    <col min="13" max="14" width="16" customWidth="1"/>
    <col min="15" max="15" width="16" hidden="1" customWidth="1"/>
    <col min="16" max="16" width="15.42578125" hidden="1" customWidth="1"/>
    <col min="17" max="17" width="18.140625" bestFit="1" customWidth="1"/>
    <col min="18" max="18" width="20.28515625" customWidth="1"/>
    <col min="19" max="19" width="14.85546875" bestFit="1" customWidth="1"/>
    <col min="20" max="22" width="13.85546875" customWidth="1"/>
    <col min="23" max="23" width="27" customWidth="1"/>
    <col min="24" max="24" width="25.28515625" customWidth="1"/>
    <col min="25" max="25" width="17" customWidth="1"/>
    <col min="26" max="26" width="18.85546875" customWidth="1"/>
    <col min="27" max="27" width="23.28515625" customWidth="1"/>
  </cols>
  <sheetData>
    <row r="1" spans="1:27" ht="116.25" thickBot="1">
      <c r="A1" s="7" t="s">
        <v>0</v>
      </c>
      <c r="B1" s="7" t="s">
        <v>1</v>
      </c>
      <c r="C1" s="118" t="s">
        <v>2</v>
      </c>
      <c r="D1" s="8" t="s">
        <v>4</v>
      </c>
      <c r="E1" s="7" t="s">
        <v>3</v>
      </c>
      <c r="F1" s="7" t="s">
        <v>5</v>
      </c>
      <c r="G1" s="7" t="s">
        <v>6</v>
      </c>
      <c r="H1" s="35" t="s">
        <v>80</v>
      </c>
      <c r="I1" s="7" t="s">
        <v>7</v>
      </c>
      <c r="J1" s="25" t="s">
        <v>74</v>
      </c>
      <c r="K1" s="37" t="s">
        <v>81</v>
      </c>
      <c r="L1" s="7" t="s">
        <v>8</v>
      </c>
      <c r="M1" s="7" t="s">
        <v>9</v>
      </c>
      <c r="N1" s="7" t="s">
        <v>400</v>
      </c>
      <c r="O1" s="7" t="s">
        <v>10</v>
      </c>
      <c r="P1" s="7" t="s">
        <v>11</v>
      </c>
      <c r="Q1" s="35" t="s">
        <v>416</v>
      </c>
      <c r="R1" s="7" t="s">
        <v>79</v>
      </c>
      <c r="S1" s="35" t="s">
        <v>304</v>
      </c>
      <c r="T1" s="45" t="s">
        <v>48</v>
      </c>
      <c r="U1" s="45" t="s">
        <v>424</v>
      </c>
      <c r="V1" s="45" t="s">
        <v>49</v>
      </c>
      <c r="W1" s="7" t="s">
        <v>13</v>
      </c>
      <c r="X1" s="7" t="s">
        <v>14</v>
      </c>
      <c r="Y1" s="35" t="s">
        <v>306</v>
      </c>
      <c r="Z1" s="7" t="s">
        <v>15</v>
      </c>
      <c r="AA1" s="3" t="s">
        <v>16</v>
      </c>
    </row>
    <row r="2" spans="1:27">
      <c r="A2" s="9" t="s">
        <v>86</v>
      </c>
      <c r="B2" s="10"/>
      <c r="C2" s="10" t="s">
        <v>87</v>
      </c>
      <c r="D2" s="38" t="s">
        <v>88</v>
      </c>
      <c r="E2" s="34" t="s">
        <v>89</v>
      </c>
      <c r="F2" s="34" t="s">
        <v>90</v>
      </c>
      <c r="G2" s="34">
        <v>2144568241</v>
      </c>
      <c r="H2" s="34" t="s">
        <v>47</v>
      </c>
      <c r="I2" s="6" t="s">
        <v>17</v>
      </c>
      <c r="J2" s="33" t="s">
        <v>47</v>
      </c>
      <c r="K2" s="41"/>
      <c r="L2" s="12" t="s">
        <v>34</v>
      </c>
      <c r="M2" s="12" t="s">
        <v>34</v>
      </c>
      <c r="N2" s="13">
        <v>77382423.060000002</v>
      </c>
      <c r="O2" s="63">
        <v>138088903.13999999</v>
      </c>
      <c r="P2" s="63">
        <v>144485485.78000006</v>
      </c>
      <c r="Q2" s="63">
        <v>279289277.2591213</v>
      </c>
      <c r="R2" s="63">
        <f>N2*1.055957</f>
        <v>81712511.307168424</v>
      </c>
      <c r="S2" s="14">
        <v>0.27421278956941958</v>
      </c>
      <c r="T2" s="46">
        <f>ROUND(S2*'NEW 1. Summary'!$B$17,2)</f>
        <v>0.47</v>
      </c>
      <c r="U2" s="46">
        <f>ROUND(S2*'Internal BN Allotment &amp; IGT'!$F$3,2)</f>
        <v>0.23</v>
      </c>
      <c r="V2" s="46">
        <f>ROUND(U2*'Internal BN Allotment &amp; IGT'!$H$3,2)</f>
        <v>0.21</v>
      </c>
      <c r="W2" s="5">
        <f t="shared" ref="W2:W7" si="0">R2*0.95</f>
        <v>77626885.741809994</v>
      </c>
      <c r="X2" s="15">
        <f t="shared" ref="X2:X7" si="1">S2*Q2</f>
        <v>76584691.814050704</v>
      </c>
      <c r="Y2" s="5">
        <f t="shared" ref="Y2:Y7" si="2">X2+Q2</f>
        <v>355873969.07317197</v>
      </c>
      <c r="Z2" s="16">
        <f t="shared" ref="Z2:Z7" si="3">X2-(K2)-W2</f>
        <v>-1042193.9277592897</v>
      </c>
      <c r="AA2" s="58" t="str">
        <f>(IF(Z2&gt;0,"Yes","No"))</f>
        <v>No</v>
      </c>
    </row>
    <row r="3" spans="1:27">
      <c r="A3" s="9" t="s">
        <v>91</v>
      </c>
      <c r="B3" s="10"/>
      <c r="C3" s="10" t="s">
        <v>92</v>
      </c>
      <c r="D3" s="38" t="s">
        <v>93</v>
      </c>
      <c r="E3" s="34" t="s">
        <v>94</v>
      </c>
      <c r="F3" s="34" t="s">
        <v>95</v>
      </c>
      <c r="G3" s="34">
        <v>2145595000</v>
      </c>
      <c r="H3" s="34" t="s">
        <v>47</v>
      </c>
      <c r="I3" s="12" t="s">
        <v>17</v>
      </c>
      <c r="J3" s="33" t="s">
        <v>47</v>
      </c>
      <c r="K3" s="41"/>
      <c r="L3" s="12" t="s">
        <v>34</v>
      </c>
      <c r="M3" s="12" t="s">
        <v>34</v>
      </c>
      <c r="N3" s="13">
        <v>16224942.66</v>
      </c>
      <c r="O3" s="63">
        <v>3636182.3699999996</v>
      </c>
      <c r="P3" s="63">
        <v>1340159.4800000002</v>
      </c>
      <c r="Q3" s="63">
        <v>4022470.0733712311</v>
      </c>
      <c r="R3" s="63">
        <f t="shared" ref="R3:R65" si="4">N3*1.055957</f>
        <v>17132841.776425622</v>
      </c>
      <c r="S3" s="14">
        <v>0.27421278956941958</v>
      </c>
      <c r="T3" s="46">
        <f>ROUND(S3*'NEW 1. Summary'!$B$17,2)</f>
        <v>0.47</v>
      </c>
      <c r="U3" s="46">
        <f>ROUND(S3*'Internal BN Allotment &amp; IGT'!$F$3,2)</f>
        <v>0.23</v>
      </c>
      <c r="V3" s="46">
        <f>ROUND(U3*'Internal BN Allotment &amp; IGT'!$H$3,2)</f>
        <v>0.21</v>
      </c>
      <c r="W3" s="5">
        <f t="shared" si="0"/>
        <v>16276199.68760434</v>
      </c>
      <c r="X3" s="15">
        <f t="shared" si="1"/>
        <v>1103012.7397786332</v>
      </c>
      <c r="Y3" s="5">
        <f t="shared" si="2"/>
        <v>5125482.8131498639</v>
      </c>
      <c r="Z3" s="16">
        <f t="shared" si="3"/>
        <v>-15173186.947825707</v>
      </c>
      <c r="AA3" s="58" t="str">
        <f t="shared" ref="AA3:AA7" si="5">(IF(Z3&gt;0,"Yes","No"))</f>
        <v>No</v>
      </c>
    </row>
    <row r="4" spans="1:27">
      <c r="A4" s="9" t="s">
        <v>96</v>
      </c>
      <c r="B4" s="10"/>
      <c r="C4" s="10" t="s">
        <v>97</v>
      </c>
      <c r="D4" s="38" t="s">
        <v>98</v>
      </c>
      <c r="E4" s="34" t="s">
        <v>89</v>
      </c>
      <c r="F4" s="34" t="s">
        <v>90</v>
      </c>
      <c r="G4" s="34">
        <v>2144568241</v>
      </c>
      <c r="H4" s="34" t="s">
        <v>47</v>
      </c>
      <c r="I4" s="12" t="s">
        <v>17</v>
      </c>
      <c r="J4" s="33" t="s">
        <v>47</v>
      </c>
      <c r="K4" s="41"/>
      <c r="L4" s="12" t="s">
        <v>99</v>
      </c>
      <c r="M4" s="12" t="s">
        <v>34</v>
      </c>
      <c r="N4" s="13">
        <v>1554047.69</v>
      </c>
      <c r="O4" s="63">
        <v>6489348.5099999988</v>
      </c>
      <c r="P4" s="63">
        <v>40484908.169999994</v>
      </c>
      <c r="Q4" s="63">
        <v>48304674.37344908</v>
      </c>
      <c r="R4" s="63">
        <f>N4*(1+(0.055957/2))</f>
        <v>1597527.6132946648</v>
      </c>
      <c r="S4" s="14">
        <v>0.27421278956941958</v>
      </c>
      <c r="T4" s="46">
        <f>ROUND(S4*'NEW 1. Summary'!$B$17,2)</f>
        <v>0.47</v>
      </c>
      <c r="U4" s="46">
        <f>ROUND(S4*'Internal BN Allotment &amp; IGT'!$F$3,2)</f>
        <v>0.23</v>
      </c>
      <c r="V4" s="46">
        <f>ROUND(U4*'Internal BN Allotment &amp; IGT'!$H$3,2)</f>
        <v>0.21</v>
      </c>
      <c r="W4" s="5">
        <f t="shared" si="0"/>
        <v>1517651.2326299315</v>
      </c>
      <c r="X4" s="15">
        <f t="shared" si="1"/>
        <v>13245759.509185927</v>
      </c>
      <c r="Y4" s="5">
        <f t="shared" si="2"/>
        <v>61550433.882635005</v>
      </c>
      <c r="Z4" s="16">
        <f t="shared" si="3"/>
        <v>11728108.276555996</v>
      </c>
      <c r="AA4" s="58" t="str">
        <f t="shared" si="5"/>
        <v>Yes</v>
      </c>
    </row>
    <row r="5" spans="1:27">
      <c r="A5" s="9" t="s">
        <v>100</v>
      </c>
      <c r="B5" s="10"/>
      <c r="C5" s="10" t="s">
        <v>101</v>
      </c>
      <c r="D5" s="38" t="s">
        <v>102</v>
      </c>
      <c r="E5" s="34" t="s">
        <v>89</v>
      </c>
      <c r="F5" s="34" t="s">
        <v>90</v>
      </c>
      <c r="G5" s="34">
        <v>2144568241</v>
      </c>
      <c r="H5" s="34" t="s">
        <v>47</v>
      </c>
      <c r="I5" s="12" t="s">
        <v>17</v>
      </c>
      <c r="J5" s="33" t="s">
        <v>47</v>
      </c>
      <c r="K5" s="41"/>
      <c r="L5" s="12" t="s">
        <v>34</v>
      </c>
      <c r="M5" s="12" t="s">
        <v>34</v>
      </c>
      <c r="N5" s="13">
        <v>2482512.48</v>
      </c>
      <c r="O5" s="63">
        <v>3016363.05</v>
      </c>
      <c r="P5" s="63">
        <v>599743.09</v>
      </c>
      <c r="Q5" s="63">
        <v>3500862.7737838416</v>
      </c>
      <c r="R5" s="63">
        <f t="shared" si="4"/>
        <v>2621426.4308433603</v>
      </c>
      <c r="S5" s="14">
        <v>0.27421278956941958</v>
      </c>
      <c r="T5" s="46">
        <f>ROUND(S5*'NEW 1. Summary'!$B$17,2)</f>
        <v>0.47</v>
      </c>
      <c r="U5" s="46">
        <f>ROUND(S5*'Internal BN Allotment &amp; IGT'!$F$3,2)</f>
        <v>0.23</v>
      </c>
      <c r="V5" s="46">
        <f>ROUND(U5*'Internal BN Allotment &amp; IGT'!$H$3,2)</f>
        <v>0.21</v>
      </c>
      <c r="W5" s="5">
        <f t="shared" si="0"/>
        <v>2490355.1093011922</v>
      </c>
      <c r="X5" s="15">
        <f t="shared" si="1"/>
        <v>959981.34709900315</v>
      </c>
      <c r="Y5" s="5">
        <f t="shared" si="2"/>
        <v>4460844.1208828446</v>
      </c>
      <c r="Z5" s="16">
        <f t="shared" si="3"/>
        <v>-1530373.7622021891</v>
      </c>
      <c r="AA5" s="58" t="str">
        <f t="shared" si="5"/>
        <v>No</v>
      </c>
    </row>
    <row r="6" spans="1:27" ht="15" customHeight="1">
      <c r="A6" s="9" t="s">
        <v>103</v>
      </c>
      <c r="B6" s="10"/>
      <c r="C6" s="10" t="s">
        <v>104</v>
      </c>
      <c r="D6" s="38" t="s">
        <v>105</v>
      </c>
      <c r="E6" s="34" t="s">
        <v>106</v>
      </c>
      <c r="F6" s="34" t="s">
        <v>107</v>
      </c>
      <c r="G6" s="34">
        <v>9034085000</v>
      </c>
      <c r="H6" s="34" t="s">
        <v>47</v>
      </c>
      <c r="I6" s="12" t="s">
        <v>68</v>
      </c>
      <c r="J6" s="33" t="s">
        <v>47</v>
      </c>
      <c r="K6" s="87">
        <v>4023068.46</v>
      </c>
      <c r="L6" s="12" t="s">
        <v>108</v>
      </c>
      <c r="M6" s="12" t="s">
        <v>34</v>
      </c>
      <c r="N6" s="13">
        <v>15588897.01</v>
      </c>
      <c r="O6" s="63">
        <v>4208410.21</v>
      </c>
      <c r="P6" s="63">
        <v>4257657.8099999996</v>
      </c>
      <c r="Q6" s="63">
        <v>7150064.0948277097</v>
      </c>
      <c r="R6" s="63">
        <f t="shared" si="4"/>
        <v>16461204.919988571</v>
      </c>
      <c r="S6" s="14">
        <v>0.81</v>
      </c>
      <c r="T6" s="46">
        <f>ROUND(S6*'NEW 1. Summary'!$B$17,2)</f>
        <v>1.39</v>
      </c>
      <c r="U6" s="46">
        <f>ROUND(S6*'Internal BN Allotment &amp; IGT'!$F$3,2)</f>
        <v>0.68</v>
      </c>
      <c r="V6" s="46">
        <f>ROUND(U6*'Internal BN Allotment &amp; IGT'!$H$3,2)</f>
        <v>0.63</v>
      </c>
      <c r="W6" s="5">
        <f t="shared" si="0"/>
        <v>15638144.673989141</v>
      </c>
      <c r="X6" s="15">
        <f t="shared" si="1"/>
        <v>5791551.9168104455</v>
      </c>
      <c r="Y6" s="5">
        <f t="shared" si="2"/>
        <v>12941616.011638155</v>
      </c>
      <c r="Z6" s="16">
        <f t="shared" si="3"/>
        <v>-13869661.217178695</v>
      </c>
      <c r="AA6" s="58" t="str">
        <f t="shared" si="5"/>
        <v>No</v>
      </c>
    </row>
    <row r="7" spans="1:27">
      <c r="A7" s="9" t="s">
        <v>109</v>
      </c>
      <c r="B7" s="10"/>
      <c r="C7" s="10" t="s">
        <v>110</v>
      </c>
      <c r="D7" s="38" t="s">
        <v>111</v>
      </c>
      <c r="E7" s="34" t="s">
        <v>19</v>
      </c>
      <c r="F7" s="34" t="s">
        <v>112</v>
      </c>
      <c r="G7" s="34">
        <v>9727471000</v>
      </c>
      <c r="H7" s="34" t="s">
        <v>47</v>
      </c>
      <c r="I7" s="12" t="s">
        <v>20</v>
      </c>
      <c r="J7" s="33" t="s">
        <v>47</v>
      </c>
      <c r="K7" s="41"/>
      <c r="L7" s="12" t="s">
        <v>99</v>
      </c>
      <c r="M7" s="12" t="s">
        <v>34</v>
      </c>
      <c r="N7" s="13">
        <v>5409798.8499999996</v>
      </c>
      <c r="O7" s="63">
        <v>1164717.45</v>
      </c>
      <c r="P7" s="63">
        <v>981833.3</v>
      </c>
      <c r="Q7" s="63">
        <v>1652171.8865131324</v>
      </c>
      <c r="R7" s="63">
        <f t="shared" si="4"/>
        <v>5712514.9642494498</v>
      </c>
      <c r="S7" s="14">
        <v>0.81</v>
      </c>
      <c r="T7" s="46">
        <f>ROUND(S7*'NEW 1. Summary'!$B$17,2)</f>
        <v>1.39</v>
      </c>
      <c r="U7" s="46">
        <f>ROUND(S7*'Internal BN Allotment &amp; IGT'!$F$3,2)</f>
        <v>0.68</v>
      </c>
      <c r="V7" s="46">
        <f>ROUND(U7*'Internal BN Allotment &amp; IGT'!$H$3,2)</f>
        <v>0.63</v>
      </c>
      <c r="W7" s="5">
        <f t="shared" si="0"/>
        <v>5426889.2160369772</v>
      </c>
      <c r="X7" s="15">
        <f t="shared" si="1"/>
        <v>1338259.2280756372</v>
      </c>
      <c r="Y7" s="5">
        <f t="shared" si="2"/>
        <v>2990431.1145887696</v>
      </c>
      <c r="Z7" s="16">
        <f t="shared" si="3"/>
        <v>-4088629.9879613398</v>
      </c>
      <c r="AA7" s="58" t="str">
        <f t="shared" si="5"/>
        <v>No</v>
      </c>
    </row>
    <row r="8" spans="1:27" s="1" customFormat="1">
      <c r="A8" s="100" t="s">
        <v>351</v>
      </c>
      <c r="B8" s="10"/>
      <c r="C8" s="119" t="s">
        <v>173</v>
      </c>
      <c r="D8" s="38" t="s">
        <v>174</v>
      </c>
      <c r="E8" s="101" t="s">
        <v>312</v>
      </c>
      <c r="F8" s="57" t="s">
        <v>313</v>
      </c>
      <c r="G8" s="34" t="s">
        <v>314</v>
      </c>
      <c r="H8" s="34" t="s">
        <v>85</v>
      </c>
      <c r="I8" s="12" t="s">
        <v>20</v>
      </c>
      <c r="J8" s="33" t="s">
        <v>47</v>
      </c>
      <c r="K8" s="41"/>
      <c r="L8" s="12" t="s">
        <v>34</v>
      </c>
      <c r="M8" s="12" t="s">
        <v>34</v>
      </c>
      <c r="N8" s="13">
        <v>0</v>
      </c>
      <c r="O8" s="63">
        <v>0</v>
      </c>
      <c r="P8" s="63">
        <v>0</v>
      </c>
      <c r="Q8" s="63">
        <v>0</v>
      </c>
      <c r="R8" s="63">
        <f t="shared" ref="R8:R49" si="6">N8*1.055957</f>
        <v>0</v>
      </c>
      <c r="S8" s="14">
        <v>0.81</v>
      </c>
      <c r="T8" s="46">
        <f>ROUND(S8*'NEW 1. Summary'!$B$17,2)</f>
        <v>1.39</v>
      </c>
      <c r="U8" s="46">
        <f>ROUND(S8*'Internal BN Allotment &amp; IGT'!$F$3,2)</f>
        <v>0.68</v>
      </c>
      <c r="V8" s="46">
        <f>ROUND(U8*'Internal BN Allotment &amp; IGT'!$H$3,2)</f>
        <v>0.63</v>
      </c>
      <c r="W8" s="5">
        <f t="shared" ref="W8:W49" si="7">R8*0.95</f>
        <v>0</v>
      </c>
      <c r="X8" s="15">
        <f t="shared" ref="X8:X49" si="8">S8*Q8</f>
        <v>0</v>
      </c>
      <c r="Y8" s="5">
        <f t="shared" ref="Y8:Y49" si="9">X8+Q8</f>
        <v>0</v>
      </c>
      <c r="Z8" s="16">
        <f t="shared" ref="Z8:Z49" si="10">X8-(K8)-W8</f>
        <v>0</v>
      </c>
      <c r="AA8" s="58" t="str">
        <f t="shared" ref="AA8:AA49" si="11">(IF(Z8&gt;0,"Yes","No"))</f>
        <v>No</v>
      </c>
    </row>
    <row r="9" spans="1:27">
      <c r="A9" s="9" t="s">
        <v>116</v>
      </c>
      <c r="B9" s="10"/>
      <c r="C9" s="10" t="s">
        <v>117</v>
      </c>
      <c r="D9" s="38" t="s">
        <v>118</v>
      </c>
      <c r="E9" s="11" t="s">
        <v>119</v>
      </c>
      <c r="F9" s="34" t="s">
        <v>120</v>
      </c>
      <c r="G9" s="11">
        <v>2542159063</v>
      </c>
      <c r="H9" s="34" t="s">
        <v>85</v>
      </c>
      <c r="I9" s="12" t="s">
        <v>20</v>
      </c>
      <c r="J9" s="33" t="s">
        <v>47</v>
      </c>
      <c r="K9" s="41"/>
      <c r="L9" s="12" t="s">
        <v>34</v>
      </c>
      <c r="M9" s="12" t="s">
        <v>34</v>
      </c>
      <c r="N9" s="13">
        <v>939986.65</v>
      </c>
      <c r="O9" s="63">
        <v>0</v>
      </c>
      <c r="P9" s="63">
        <v>75579.58</v>
      </c>
      <c r="Q9" s="63">
        <v>34311.026336590134</v>
      </c>
      <c r="R9" s="63">
        <f t="shared" si="6"/>
        <v>992585.4829740501</v>
      </c>
      <c r="S9" s="14">
        <v>0.81</v>
      </c>
      <c r="T9" s="46">
        <f>ROUND(S9*'NEW 1. Summary'!$B$17,2)</f>
        <v>1.39</v>
      </c>
      <c r="U9" s="46">
        <f>ROUND(S9*'Internal BN Allotment &amp; IGT'!$F$3,2)</f>
        <v>0.68</v>
      </c>
      <c r="V9" s="46">
        <f>ROUND(U9*'Internal BN Allotment &amp; IGT'!$H$3,2)</f>
        <v>0.63</v>
      </c>
      <c r="W9" s="5">
        <f t="shared" si="7"/>
        <v>942956.2088253476</v>
      </c>
      <c r="X9" s="15">
        <f t="shared" si="8"/>
        <v>27791.931332638011</v>
      </c>
      <c r="Y9" s="5">
        <f t="shared" si="9"/>
        <v>62102.957669228141</v>
      </c>
      <c r="Z9" s="16">
        <f t="shared" si="10"/>
        <v>-915164.27749270957</v>
      </c>
      <c r="AA9" s="58" t="str">
        <f t="shared" si="11"/>
        <v>No</v>
      </c>
    </row>
    <row r="10" spans="1:27">
      <c r="A10" s="9" t="s">
        <v>121</v>
      </c>
      <c r="B10" s="10"/>
      <c r="C10" s="10" t="s">
        <v>122</v>
      </c>
      <c r="D10" s="38" t="s">
        <v>123</v>
      </c>
      <c r="E10" s="11" t="s">
        <v>119</v>
      </c>
      <c r="F10" s="34" t="s">
        <v>120</v>
      </c>
      <c r="G10" s="11">
        <v>2542159063</v>
      </c>
      <c r="H10" s="34" t="s">
        <v>47</v>
      </c>
      <c r="I10" s="12" t="s">
        <v>20</v>
      </c>
      <c r="J10" s="33" t="s">
        <v>47</v>
      </c>
      <c r="K10" s="41"/>
      <c r="L10" s="12" t="s">
        <v>34</v>
      </c>
      <c r="M10" s="12" t="s">
        <v>34</v>
      </c>
      <c r="N10" s="13">
        <v>28497758.800000001</v>
      </c>
      <c r="O10" s="63">
        <v>4079783.38</v>
      </c>
      <c r="P10" s="63">
        <v>2561245.91</v>
      </c>
      <c r="Q10" s="63">
        <v>3236803.9820770444</v>
      </c>
      <c r="R10" s="63">
        <f t="shared" si="6"/>
        <v>30092407.8891716</v>
      </c>
      <c r="S10" s="14">
        <v>0.81</v>
      </c>
      <c r="T10" s="46">
        <f>ROUND(S10*'NEW 1. Summary'!$B$17,2)</f>
        <v>1.39</v>
      </c>
      <c r="U10" s="46">
        <f>ROUND(S10*'Internal BN Allotment &amp; IGT'!$F$3,2)</f>
        <v>0.68</v>
      </c>
      <c r="V10" s="46">
        <f>ROUND(U10*'Internal BN Allotment &amp; IGT'!$H$3,2)</f>
        <v>0.63</v>
      </c>
      <c r="W10" s="5">
        <f t="shared" si="7"/>
        <v>28587787.49471302</v>
      </c>
      <c r="X10" s="15">
        <f t="shared" si="8"/>
        <v>2621811.2254824061</v>
      </c>
      <c r="Y10" s="5">
        <f t="shared" si="9"/>
        <v>5858615.2075594505</v>
      </c>
      <c r="Z10" s="16">
        <f t="shared" si="10"/>
        <v>-25965976.269230612</v>
      </c>
      <c r="AA10" s="58" t="str">
        <f t="shared" si="11"/>
        <v>No</v>
      </c>
    </row>
    <row r="11" spans="1:27">
      <c r="A11" s="9" t="s">
        <v>124</v>
      </c>
      <c r="B11" s="10"/>
      <c r="C11" s="10" t="s">
        <v>125</v>
      </c>
      <c r="D11" s="38" t="s">
        <v>126</v>
      </c>
      <c r="E11" s="34" t="s">
        <v>127</v>
      </c>
      <c r="F11" s="34" t="s">
        <v>128</v>
      </c>
      <c r="G11" s="34">
        <v>9728750900</v>
      </c>
      <c r="H11" s="34" t="s">
        <v>47</v>
      </c>
      <c r="I11" s="12" t="s">
        <v>20</v>
      </c>
      <c r="J11" s="33" t="s">
        <v>47</v>
      </c>
      <c r="K11" s="41"/>
      <c r="L11" s="12" t="s">
        <v>129</v>
      </c>
      <c r="M11" s="12" t="s">
        <v>34</v>
      </c>
      <c r="N11" s="13">
        <v>4070236.08</v>
      </c>
      <c r="O11" s="63">
        <v>69822.679999999993</v>
      </c>
      <c r="P11" s="63">
        <v>760190.70000000007</v>
      </c>
      <c r="Q11" s="63">
        <v>556720.28863069694</v>
      </c>
      <c r="R11" s="63">
        <f t="shared" si="6"/>
        <v>4297994.2803285606</v>
      </c>
      <c r="S11" s="14">
        <v>0.81</v>
      </c>
      <c r="T11" s="46">
        <f>ROUND(S11*'NEW 1. Summary'!$B$17,2)</f>
        <v>1.39</v>
      </c>
      <c r="U11" s="46">
        <f>ROUND(S11*'Internal BN Allotment &amp; IGT'!$F$3,2)</f>
        <v>0.68</v>
      </c>
      <c r="V11" s="46">
        <f>ROUND(U11*'Internal BN Allotment &amp; IGT'!$H$3,2)</f>
        <v>0.63</v>
      </c>
      <c r="W11" s="5">
        <f t="shared" si="7"/>
        <v>4083094.5663121324</v>
      </c>
      <c r="X11" s="15">
        <f t="shared" si="8"/>
        <v>450943.43379086454</v>
      </c>
      <c r="Y11" s="5">
        <f t="shared" si="9"/>
        <v>1007663.7224215615</v>
      </c>
      <c r="Z11" s="16">
        <f t="shared" si="10"/>
        <v>-3632151.132521268</v>
      </c>
      <c r="AA11" s="58" t="str">
        <f t="shared" si="11"/>
        <v>No</v>
      </c>
    </row>
    <row r="12" spans="1:27">
      <c r="A12" s="9" t="s">
        <v>195</v>
      </c>
      <c r="B12" s="10"/>
      <c r="C12" s="119" t="s">
        <v>196</v>
      </c>
      <c r="D12" s="38" t="s">
        <v>197</v>
      </c>
      <c r="E12" s="11" t="s">
        <v>119</v>
      </c>
      <c r="F12" s="34" t="s">
        <v>120</v>
      </c>
      <c r="G12" s="11">
        <v>2542159063</v>
      </c>
      <c r="H12" s="34" t="s">
        <v>85</v>
      </c>
      <c r="I12" s="12" t="s">
        <v>20</v>
      </c>
      <c r="J12" s="33" t="s">
        <v>47</v>
      </c>
      <c r="K12" s="41"/>
      <c r="L12" s="12" t="s">
        <v>150</v>
      </c>
      <c r="M12" s="12" t="s">
        <v>34</v>
      </c>
      <c r="N12" s="13">
        <v>-944424.32</v>
      </c>
      <c r="O12" s="63">
        <v>0</v>
      </c>
      <c r="P12" s="63">
        <v>552047.18999999994</v>
      </c>
      <c r="Q12" s="63">
        <v>0</v>
      </c>
      <c r="R12" s="63">
        <f t="shared" si="6"/>
        <v>-997271.47167423996</v>
      </c>
      <c r="S12" s="14">
        <v>0.81</v>
      </c>
      <c r="T12" s="46">
        <f>ROUND(S12*'NEW 1. Summary'!$B$17,2)</f>
        <v>1.39</v>
      </c>
      <c r="U12" s="46">
        <f>ROUND(S12*'Internal BN Allotment &amp; IGT'!$F$3,2)</f>
        <v>0.68</v>
      </c>
      <c r="V12" s="46">
        <f>ROUND(U12*'Internal BN Allotment &amp; IGT'!$H$3,2)</f>
        <v>0.63</v>
      </c>
      <c r="W12" s="5">
        <f t="shared" si="7"/>
        <v>-947407.89809052798</v>
      </c>
      <c r="X12" s="15">
        <f t="shared" si="8"/>
        <v>0</v>
      </c>
      <c r="Y12" s="5">
        <f t="shared" si="9"/>
        <v>0</v>
      </c>
      <c r="Z12" s="16">
        <f t="shared" si="10"/>
        <v>947407.89809052798</v>
      </c>
      <c r="AA12" s="58" t="str">
        <f t="shared" si="11"/>
        <v>Yes</v>
      </c>
    </row>
    <row r="13" spans="1:27">
      <c r="A13" s="9" t="s">
        <v>133</v>
      </c>
      <c r="B13" s="10"/>
      <c r="C13" s="10" t="s">
        <v>134</v>
      </c>
      <c r="D13" s="38" t="s">
        <v>135</v>
      </c>
      <c r="E13" s="11" t="s">
        <v>119</v>
      </c>
      <c r="F13" s="34" t="s">
        <v>120</v>
      </c>
      <c r="G13" s="11">
        <v>2542159063</v>
      </c>
      <c r="H13" s="34" t="s">
        <v>47</v>
      </c>
      <c r="I13" s="12" t="s">
        <v>20</v>
      </c>
      <c r="J13" s="33" t="s">
        <v>47</v>
      </c>
      <c r="K13" s="41"/>
      <c r="L13" s="12" t="s">
        <v>34</v>
      </c>
      <c r="M13" s="12" t="s">
        <v>34</v>
      </c>
      <c r="N13" s="13">
        <v>5455841.6699999999</v>
      </c>
      <c r="O13" s="63">
        <v>382911.91000000003</v>
      </c>
      <c r="P13" s="63">
        <v>69441.94</v>
      </c>
      <c r="Q13" s="63">
        <v>180003.21342562081</v>
      </c>
      <c r="R13" s="63">
        <f t="shared" si="6"/>
        <v>5761134.2023281902</v>
      </c>
      <c r="S13" s="14">
        <v>0.81</v>
      </c>
      <c r="T13" s="46">
        <f>ROUND(S13*'NEW 1. Summary'!$B$17,2)</f>
        <v>1.39</v>
      </c>
      <c r="U13" s="46">
        <f>ROUND(S13*'Internal BN Allotment &amp; IGT'!$F$3,2)</f>
        <v>0.68</v>
      </c>
      <c r="V13" s="46">
        <f>ROUND(U13*'Internal BN Allotment &amp; IGT'!$H$3,2)</f>
        <v>0.63</v>
      </c>
      <c r="W13" s="5">
        <f t="shared" si="7"/>
        <v>5473077.4922117805</v>
      </c>
      <c r="X13" s="15">
        <f t="shared" si="8"/>
        <v>145802.60287475286</v>
      </c>
      <c r="Y13" s="5">
        <f t="shared" si="9"/>
        <v>325805.81630037364</v>
      </c>
      <c r="Z13" s="16">
        <f t="shared" si="10"/>
        <v>-5327274.8893370274</v>
      </c>
      <c r="AA13" s="58" t="str">
        <f t="shared" si="11"/>
        <v>No</v>
      </c>
    </row>
    <row r="14" spans="1:27">
      <c r="A14" s="9" t="s">
        <v>136</v>
      </c>
      <c r="B14" s="10"/>
      <c r="C14" s="10" t="s">
        <v>137</v>
      </c>
      <c r="D14" s="38" t="s">
        <v>138</v>
      </c>
      <c r="E14" s="11" t="s">
        <v>119</v>
      </c>
      <c r="F14" s="34" t="s">
        <v>120</v>
      </c>
      <c r="G14" s="11">
        <v>2542159063</v>
      </c>
      <c r="H14" s="34" t="s">
        <v>85</v>
      </c>
      <c r="I14" s="12" t="s">
        <v>20</v>
      </c>
      <c r="J14" s="33" t="s">
        <v>47</v>
      </c>
      <c r="K14" s="41"/>
      <c r="L14" s="12" t="s">
        <v>99</v>
      </c>
      <c r="M14" s="12" t="s">
        <v>34</v>
      </c>
      <c r="N14" s="13">
        <v>1317756.1000000001</v>
      </c>
      <c r="O14" s="63">
        <v>33441.79</v>
      </c>
      <c r="P14" s="63">
        <v>60609.78</v>
      </c>
      <c r="Q14" s="63">
        <v>1128.5467037888798</v>
      </c>
      <c r="R14" s="63">
        <f t="shared" si="6"/>
        <v>1391493.7780877003</v>
      </c>
      <c r="S14" s="14">
        <v>0.81</v>
      </c>
      <c r="T14" s="46">
        <f>ROUND(S14*'NEW 1. Summary'!$B$17,2)</f>
        <v>1.39</v>
      </c>
      <c r="U14" s="46">
        <f>ROUND(S14*'Internal BN Allotment &amp; IGT'!$F$3,2)</f>
        <v>0.68</v>
      </c>
      <c r="V14" s="46">
        <f>ROUND(U14*'Internal BN Allotment &amp; IGT'!$H$3,2)</f>
        <v>0.63</v>
      </c>
      <c r="W14" s="5">
        <f t="shared" si="7"/>
        <v>1321919.0891833152</v>
      </c>
      <c r="X14" s="15">
        <f t="shared" si="8"/>
        <v>914.1228300689927</v>
      </c>
      <c r="Y14" s="5">
        <f t="shared" si="9"/>
        <v>2042.6695338578725</v>
      </c>
      <c r="Z14" s="16">
        <f t="shared" si="10"/>
        <v>-1321004.9663532462</v>
      </c>
      <c r="AA14" s="58" t="str">
        <f t="shared" si="11"/>
        <v>No</v>
      </c>
    </row>
    <row r="15" spans="1:27">
      <c r="A15" s="9" t="s">
        <v>139</v>
      </c>
      <c r="B15" s="10"/>
      <c r="C15" s="10" t="s">
        <v>140</v>
      </c>
      <c r="D15" s="38" t="s">
        <v>141</v>
      </c>
      <c r="E15" s="11" t="s">
        <v>119</v>
      </c>
      <c r="F15" s="34" t="s">
        <v>120</v>
      </c>
      <c r="G15" s="11">
        <v>2542159063</v>
      </c>
      <c r="H15" s="34" t="s">
        <v>85</v>
      </c>
      <c r="I15" s="12" t="s">
        <v>20</v>
      </c>
      <c r="J15" s="33" t="s">
        <v>47</v>
      </c>
      <c r="K15" s="41"/>
      <c r="L15" s="12" t="s">
        <v>34</v>
      </c>
      <c r="M15" s="12" t="s">
        <v>34</v>
      </c>
      <c r="N15" s="13">
        <v>560288.19999999995</v>
      </c>
      <c r="O15" s="63">
        <v>0</v>
      </c>
      <c r="P15" s="63">
        <v>39641.599999999999</v>
      </c>
      <c r="Q15" s="63">
        <v>1141.5688041000958</v>
      </c>
      <c r="R15" s="63">
        <f t="shared" si="6"/>
        <v>591640.24680740002</v>
      </c>
      <c r="S15" s="14">
        <v>0.81</v>
      </c>
      <c r="T15" s="46">
        <f>ROUND(S15*'NEW 1. Summary'!$B$17,2)</f>
        <v>1.39</v>
      </c>
      <c r="U15" s="46">
        <f>ROUND(S15*'Internal BN Allotment &amp; IGT'!$F$3,2)</f>
        <v>0.68</v>
      </c>
      <c r="V15" s="46">
        <f>ROUND(U15*'Internal BN Allotment &amp; IGT'!$H$3,2)</f>
        <v>0.63</v>
      </c>
      <c r="W15" s="5">
        <f t="shared" si="7"/>
        <v>562058.23446703004</v>
      </c>
      <c r="X15" s="15">
        <f t="shared" si="8"/>
        <v>924.67073132107771</v>
      </c>
      <c r="Y15" s="5">
        <f t="shared" si="9"/>
        <v>2066.2395354211735</v>
      </c>
      <c r="Z15" s="16">
        <f t="shared" si="10"/>
        <v>-561133.56373570894</v>
      </c>
      <c r="AA15" s="58" t="str">
        <f t="shared" si="11"/>
        <v>No</v>
      </c>
    </row>
    <row r="16" spans="1:27">
      <c r="A16" s="9" t="s">
        <v>142</v>
      </c>
      <c r="B16" s="10"/>
      <c r="C16" s="10" t="s">
        <v>143</v>
      </c>
      <c r="D16" s="38" t="s">
        <v>144</v>
      </c>
      <c r="E16" s="11" t="s">
        <v>119</v>
      </c>
      <c r="F16" s="34" t="s">
        <v>120</v>
      </c>
      <c r="G16" s="11">
        <v>2542159063</v>
      </c>
      <c r="H16" s="34" t="s">
        <v>47</v>
      </c>
      <c r="I16" s="12" t="s">
        <v>20</v>
      </c>
      <c r="J16" s="33" t="s">
        <v>47</v>
      </c>
      <c r="K16" s="41"/>
      <c r="L16" s="12" t="s">
        <v>99</v>
      </c>
      <c r="M16" s="12" t="s">
        <v>34</v>
      </c>
      <c r="N16" s="13">
        <v>5699481.4900000002</v>
      </c>
      <c r="O16" s="63">
        <v>275075.71000000002</v>
      </c>
      <c r="P16" s="63">
        <v>62739.429999999993</v>
      </c>
      <c r="Q16" s="63">
        <v>35364.306219911356</v>
      </c>
      <c r="R16" s="63">
        <f t="shared" si="6"/>
        <v>6018407.3757359302</v>
      </c>
      <c r="S16" s="14">
        <v>0.81</v>
      </c>
      <c r="T16" s="46">
        <f>ROUND(S16*'NEW 1. Summary'!$B$17,2)</f>
        <v>1.39</v>
      </c>
      <c r="U16" s="46">
        <f>ROUND(S16*'Internal BN Allotment &amp; IGT'!$F$3,2)</f>
        <v>0.68</v>
      </c>
      <c r="V16" s="46">
        <f>ROUND(U16*'Internal BN Allotment &amp; IGT'!$H$3,2)</f>
        <v>0.63</v>
      </c>
      <c r="W16" s="5">
        <f t="shared" si="7"/>
        <v>5717487.0069491332</v>
      </c>
      <c r="X16" s="15">
        <f t="shared" si="8"/>
        <v>28645.0880381282</v>
      </c>
      <c r="Y16" s="5">
        <f t="shared" si="9"/>
        <v>64009.394258039552</v>
      </c>
      <c r="Z16" s="16">
        <f t="shared" si="10"/>
        <v>-5688841.9189110054</v>
      </c>
      <c r="AA16" s="58" t="str">
        <f t="shared" si="11"/>
        <v>No</v>
      </c>
    </row>
    <row r="17" spans="1:27">
      <c r="A17" s="9" t="s">
        <v>145</v>
      </c>
      <c r="B17" s="10"/>
      <c r="C17" s="10" t="s">
        <v>146</v>
      </c>
      <c r="D17" s="38" t="s">
        <v>147</v>
      </c>
      <c r="E17" s="34" t="s">
        <v>148</v>
      </c>
      <c r="F17" s="34" t="s">
        <v>149</v>
      </c>
      <c r="G17" s="34">
        <v>4696981000</v>
      </c>
      <c r="H17" s="34" t="s">
        <v>47</v>
      </c>
      <c r="I17" s="12" t="s">
        <v>20</v>
      </c>
      <c r="J17" s="33" t="s">
        <v>47</v>
      </c>
      <c r="K17" s="41"/>
      <c r="L17" s="12" t="s">
        <v>150</v>
      </c>
      <c r="M17" s="12" t="s">
        <v>34</v>
      </c>
      <c r="N17" s="13">
        <v>5287000.26</v>
      </c>
      <c r="O17" s="63">
        <v>571763.09000000008</v>
      </c>
      <c r="P17" s="63">
        <v>1065517.9300000002</v>
      </c>
      <c r="Q17" s="63">
        <v>1425616.1237349259</v>
      </c>
      <c r="R17" s="63">
        <f t="shared" si="6"/>
        <v>5582844.9335488202</v>
      </c>
      <c r="S17" s="14">
        <v>0.81</v>
      </c>
      <c r="T17" s="46">
        <f>ROUND(S17*'NEW 1. Summary'!$B$17,2)</f>
        <v>1.39</v>
      </c>
      <c r="U17" s="46">
        <f>ROUND(S17*'Internal BN Allotment &amp; IGT'!$F$3,2)</f>
        <v>0.68</v>
      </c>
      <c r="V17" s="46">
        <f>ROUND(U17*'Internal BN Allotment &amp; IGT'!$H$3,2)</f>
        <v>0.63</v>
      </c>
      <c r="W17" s="5">
        <f t="shared" si="7"/>
        <v>5303702.6868713787</v>
      </c>
      <c r="X17" s="15">
        <f t="shared" si="8"/>
        <v>1154749.06022529</v>
      </c>
      <c r="Y17" s="5">
        <f t="shared" si="9"/>
        <v>2580365.1839602161</v>
      </c>
      <c r="Z17" s="16">
        <f t="shared" si="10"/>
        <v>-4148953.6266460884</v>
      </c>
      <c r="AA17" s="58" t="str">
        <f t="shared" si="11"/>
        <v>No</v>
      </c>
    </row>
    <row r="18" spans="1:27">
      <c r="A18" s="9" t="s">
        <v>113</v>
      </c>
      <c r="B18" s="17"/>
      <c r="C18" s="17" t="s">
        <v>114</v>
      </c>
      <c r="D18" s="38" t="s">
        <v>115</v>
      </c>
      <c r="E18" s="101" t="s">
        <v>312</v>
      </c>
      <c r="F18" s="57" t="s">
        <v>313</v>
      </c>
      <c r="G18" s="34" t="s">
        <v>314</v>
      </c>
      <c r="H18" s="34" t="s">
        <v>85</v>
      </c>
      <c r="I18" s="18" t="s">
        <v>20</v>
      </c>
      <c r="J18" s="33" t="s">
        <v>47</v>
      </c>
      <c r="K18" s="41"/>
      <c r="L18" s="18" t="s">
        <v>34</v>
      </c>
      <c r="M18" s="19" t="s">
        <v>34</v>
      </c>
      <c r="N18" s="13">
        <v>3220683.4</v>
      </c>
      <c r="O18" s="63">
        <v>22249.61</v>
      </c>
      <c r="P18" s="63">
        <v>0</v>
      </c>
      <c r="Q18" s="63">
        <v>0</v>
      </c>
      <c r="R18" s="63">
        <f t="shared" si="6"/>
        <v>3400903.1810138002</v>
      </c>
      <c r="S18" s="14">
        <v>0.81</v>
      </c>
      <c r="T18" s="46">
        <f>ROUND(S18*'NEW 1. Summary'!$B$17,2)</f>
        <v>1.39</v>
      </c>
      <c r="U18" s="46">
        <f>ROUND(S18*'Internal BN Allotment &amp; IGT'!$F$3,2)</f>
        <v>0.68</v>
      </c>
      <c r="V18" s="46">
        <f>ROUND(U18*'Internal BN Allotment &amp; IGT'!$H$3,2)</f>
        <v>0.63</v>
      </c>
      <c r="W18" s="5">
        <f t="shared" si="7"/>
        <v>3230858.0219631102</v>
      </c>
      <c r="X18" s="15">
        <f t="shared" si="8"/>
        <v>0</v>
      </c>
      <c r="Y18" s="5">
        <f t="shared" si="9"/>
        <v>0</v>
      </c>
      <c r="Z18" s="16">
        <f t="shared" si="10"/>
        <v>-3230858.0219631102</v>
      </c>
      <c r="AA18" s="58" t="str">
        <f t="shared" si="11"/>
        <v>No</v>
      </c>
    </row>
    <row r="19" spans="1:27">
      <c r="A19" s="9" t="s">
        <v>130</v>
      </c>
      <c r="B19" s="10"/>
      <c r="C19" s="10" t="s">
        <v>131</v>
      </c>
      <c r="D19" s="38" t="s">
        <v>132</v>
      </c>
      <c r="E19" s="101" t="s">
        <v>312</v>
      </c>
      <c r="F19" s="57" t="s">
        <v>313</v>
      </c>
      <c r="G19" s="34" t="s">
        <v>314</v>
      </c>
      <c r="H19" s="34" t="s">
        <v>85</v>
      </c>
      <c r="I19" s="12" t="s">
        <v>20</v>
      </c>
      <c r="J19" s="33" t="s">
        <v>47</v>
      </c>
      <c r="K19" s="41"/>
      <c r="L19" s="12" t="s">
        <v>34</v>
      </c>
      <c r="M19" s="12" t="s">
        <v>34</v>
      </c>
      <c r="N19" s="13">
        <v>2312614.9700000002</v>
      </c>
      <c r="O19" s="63">
        <v>0</v>
      </c>
      <c r="P19" s="63">
        <v>0</v>
      </c>
      <c r="Q19" s="63">
        <v>0</v>
      </c>
      <c r="R19" s="63">
        <f t="shared" si="6"/>
        <v>2442021.9658762901</v>
      </c>
      <c r="S19" s="14">
        <v>0.81</v>
      </c>
      <c r="T19" s="46">
        <f>ROUND(S19*'NEW 1. Summary'!$B$17,2)</f>
        <v>1.39</v>
      </c>
      <c r="U19" s="46">
        <f>ROUND(S19*'Internal BN Allotment &amp; IGT'!$F$3,2)</f>
        <v>0.68</v>
      </c>
      <c r="V19" s="46">
        <f>ROUND(U19*'Internal BN Allotment &amp; IGT'!$H$3,2)</f>
        <v>0.63</v>
      </c>
      <c r="W19" s="5">
        <f t="shared" si="7"/>
        <v>2319920.8675824753</v>
      </c>
      <c r="X19" s="15">
        <f t="shared" si="8"/>
        <v>0</v>
      </c>
      <c r="Y19" s="5">
        <f t="shared" si="9"/>
        <v>0</v>
      </c>
      <c r="Z19" s="16">
        <f t="shared" si="10"/>
        <v>-2319920.8675824753</v>
      </c>
      <c r="AA19" s="58" t="str">
        <f t="shared" si="11"/>
        <v>No</v>
      </c>
    </row>
    <row r="20" spans="1:27">
      <c r="A20" s="9" t="s">
        <v>175</v>
      </c>
      <c r="B20" s="10"/>
      <c r="C20" s="119" t="s">
        <v>176</v>
      </c>
      <c r="D20" s="38" t="s">
        <v>177</v>
      </c>
      <c r="E20" s="98" t="s">
        <v>21</v>
      </c>
      <c r="F20" s="57" t="s">
        <v>311</v>
      </c>
      <c r="G20" s="34">
        <v>4692041000</v>
      </c>
      <c r="H20" s="34" t="s">
        <v>85</v>
      </c>
      <c r="I20" s="12" t="s">
        <v>20</v>
      </c>
      <c r="J20" s="33" t="s">
        <v>47</v>
      </c>
      <c r="K20" s="41"/>
      <c r="L20" s="12" t="s">
        <v>99</v>
      </c>
      <c r="M20" s="12" t="s">
        <v>34</v>
      </c>
      <c r="N20" s="13">
        <v>495562.86</v>
      </c>
      <c r="O20" s="63">
        <v>0</v>
      </c>
      <c r="P20" s="63">
        <v>26983.579999999998</v>
      </c>
      <c r="Q20" s="63">
        <v>1663.165933278425</v>
      </c>
      <c r="R20" s="63">
        <f t="shared" si="6"/>
        <v>523293.07095701998</v>
      </c>
      <c r="S20" s="14">
        <v>0.81</v>
      </c>
      <c r="T20" s="46">
        <f>ROUND(S20*'NEW 1. Summary'!$B$17,2)</f>
        <v>1.39</v>
      </c>
      <c r="U20" s="46">
        <f>ROUND(S20*'Internal BN Allotment &amp; IGT'!$F$3,2)</f>
        <v>0.68</v>
      </c>
      <c r="V20" s="46">
        <f>ROUND(U20*'Internal BN Allotment &amp; IGT'!$H$3,2)</f>
        <v>0.63</v>
      </c>
      <c r="W20" s="5">
        <f t="shared" si="7"/>
        <v>497128.41740916896</v>
      </c>
      <c r="X20" s="15">
        <f t="shared" si="8"/>
        <v>1347.1644059555242</v>
      </c>
      <c r="Y20" s="5">
        <f t="shared" si="9"/>
        <v>3010.3303392339494</v>
      </c>
      <c r="Z20" s="16">
        <f t="shared" si="10"/>
        <v>-495781.25300321344</v>
      </c>
      <c r="AA20" s="58" t="str">
        <f t="shared" si="11"/>
        <v>No</v>
      </c>
    </row>
    <row r="21" spans="1:27">
      <c r="A21" s="9" t="s">
        <v>157</v>
      </c>
      <c r="B21" s="10"/>
      <c r="C21" s="120" t="s">
        <v>158</v>
      </c>
      <c r="D21" s="38" t="s">
        <v>159</v>
      </c>
      <c r="E21" s="34" t="s">
        <v>21</v>
      </c>
      <c r="F21" s="34" t="s">
        <v>22</v>
      </c>
      <c r="G21" s="34">
        <v>4692041000</v>
      </c>
      <c r="H21" s="34" t="s">
        <v>47</v>
      </c>
      <c r="I21" s="12" t="s">
        <v>20</v>
      </c>
      <c r="J21" s="33" t="s">
        <v>47</v>
      </c>
      <c r="K21" s="41"/>
      <c r="L21" s="12" t="s">
        <v>34</v>
      </c>
      <c r="M21" s="12" t="s">
        <v>34</v>
      </c>
      <c r="N21" s="13">
        <v>16453620.9</v>
      </c>
      <c r="O21" s="63">
        <v>3281842.2700000005</v>
      </c>
      <c r="P21" s="63">
        <v>1400910.87</v>
      </c>
      <c r="Q21" s="63">
        <v>4533609.567794974</v>
      </c>
      <c r="R21" s="63">
        <f t="shared" si="6"/>
        <v>17374316.164701302</v>
      </c>
      <c r="S21" s="14">
        <v>0.81</v>
      </c>
      <c r="T21" s="46">
        <f>ROUND(S21*'NEW 1. Summary'!$B$17,2)</f>
        <v>1.39</v>
      </c>
      <c r="U21" s="46">
        <f>ROUND(S21*'Internal BN Allotment &amp; IGT'!$F$3,2)</f>
        <v>0.68</v>
      </c>
      <c r="V21" s="46">
        <f>ROUND(U21*'Internal BN Allotment &amp; IGT'!$H$3,2)</f>
        <v>0.63</v>
      </c>
      <c r="W21" s="5">
        <f t="shared" si="7"/>
        <v>16505600.356466236</v>
      </c>
      <c r="X21" s="15">
        <f t="shared" si="8"/>
        <v>3672223.749913929</v>
      </c>
      <c r="Y21" s="5">
        <f t="shared" si="9"/>
        <v>8205833.317708903</v>
      </c>
      <c r="Z21" s="16">
        <f t="shared" si="10"/>
        <v>-12833376.606552307</v>
      </c>
      <c r="AA21" s="58" t="str">
        <f t="shared" si="11"/>
        <v>No</v>
      </c>
    </row>
    <row r="22" spans="1:27">
      <c r="A22" s="9" t="s">
        <v>160</v>
      </c>
      <c r="B22" s="10"/>
      <c r="C22" s="119" t="s">
        <v>161</v>
      </c>
      <c r="D22" s="38" t="s">
        <v>162</v>
      </c>
      <c r="E22" s="34" t="s">
        <v>163</v>
      </c>
      <c r="F22" s="34" t="s">
        <v>164</v>
      </c>
      <c r="G22" s="34">
        <v>9728923000</v>
      </c>
      <c r="H22" s="34" t="s">
        <v>47</v>
      </c>
      <c r="I22" s="12" t="s">
        <v>20</v>
      </c>
      <c r="J22" s="33" t="s">
        <v>47</v>
      </c>
      <c r="K22" s="41"/>
      <c r="L22" s="12" t="s">
        <v>34</v>
      </c>
      <c r="M22" s="12" t="s">
        <v>34</v>
      </c>
      <c r="N22" s="13">
        <v>11946138.16</v>
      </c>
      <c r="O22" s="63">
        <v>887644.05999999994</v>
      </c>
      <c r="P22" s="63">
        <v>1277603.2599999998</v>
      </c>
      <c r="Q22" s="63">
        <v>1561995.1587364958</v>
      </c>
      <c r="R22" s="63">
        <f t="shared" si="6"/>
        <v>12614608.213019121</v>
      </c>
      <c r="S22" s="14">
        <v>0.81</v>
      </c>
      <c r="T22" s="46">
        <f>ROUND(S22*'NEW 1. Summary'!$B$17,2)</f>
        <v>1.39</v>
      </c>
      <c r="U22" s="46">
        <f>ROUND(S22*'Internal BN Allotment &amp; IGT'!$F$3,2)</f>
        <v>0.68</v>
      </c>
      <c r="V22" s="46">
        <f>ROUND(U22*'Internal BN Allotment &amp; IGT'!$H$3,2)</f>
        <v>0.63</v>
      </c>
      <c r="W22" s="5">
        <f t="shared" si="7"/>
        <v>11983877.802368164</v>
      </c>
      <c r="X22" s="15">
        <f t="shared" si="8"/>
        <v>1265216.0785765618</v>
      </c>
      <c r="Y22" s="5">
        <f t="shared" si="9"/>
        <v>2827211.2373130573</v>
      </c>
      <c r="Z22" s="16">
        <f t="shared" si="10"/>
        <v>-10718661.723791603</v>
      </c>
      <c r="AA22" s="58" t="str">
        <f t="shared" si="11"/>
        <v>No</v>
      </c>
    </row>
    <row r="23" spans="1:27">
      <c r="A23" s="9" t="s">
        <v>165</v>
      </c>
      <c r="B23" s="10"/>
      <c r="C23" s="119" t="s">
        <v>166</v>
      </c>
      <c r="D23" s="38" t="s">
        <v>167</v>
      </c>
      <c r="E23" s="34" t="s">
        <v>168</v>
      </c>
      <c r="F23" s="34" t="s">
        <v>169</v>
      </c>
      <c r="G23" s="34"/>
      <c r="H23" s="34" t="s">
        <v>85</v>
      </c>
      <c r="I23" s="12" t="s">
        <v>20</v>
      </c>
      <c r="J23" s="33" t="s">
        <v>47</v>
      </c>
      <c r="K23" s="41"/>
      <c r="L23" s="12" t="s">
        <v>34</v>
      </c>
      <c r="M23" s="12" t="s">
        <v>34</v>
      </c>
      <c r="N23" s="13">
        <v>4141472.39</v>
      </c>
      <c r="O23" s="63">
        <v>0</v>
      </c>
      <c r="P23" s="63">
        <v>0</v>
      </c>
      <c r="Q23" s="63">
        <v>0</v>
      </c>
      <c r="R23" s="63">
        <f t="shared" si="6"/>
        <v>4373216.7605272299</v>
      </c>
      <c r="S23" s="14">
        <v>0.81</v>
      </c>
      <c r="T23" s="46">
        <f>ROUND(S23*'NEW 1. Summary'!$B$17,2)</f>
        <v>1.39</v>
      </c>
      <c r="U23" s="46">
        <f>ROUND(S23*'Internal BN Allotment &amp; IGT'!$F$3,2)</f>
        <v>0.68</v>
      </c>
      <c r="V23" s="46">
        <f>ROUND(U23*'Internal BN Allotment &amp; IGT'!$H$3,2)</f>
        <v>0.63</v>
      </c>
      <c r="W23" s="5">
        <f t="shared" si="7"/>
        <v>4154555.9225008683</v>
      </c>
      <c r="X23" s="15">
        <f t="shared" si="8"/>
        <v>0</v>
      </c>
      <c r="Y23" s="5">
        <f t="shared" si="9"/>
        <v>0</v>
      </c>
      <c r="Z23" s="16">
        <f t="shared" si="10"/>
        <v>-4154555.9225008683</v>
      </c>
      <c r="AA23" s="58" t="str">
        <f t="shared" si="11"/>
        <v>No</v>
      </c>
    </row>
    <row r="24" spans="1:27">
      <c r="A24" s="9" t="s">
        <v>170</v>
      </c>
      <c r="B24" s="10"/>
      <c r="C24" s="119" t="s">
        <v>171</v>
      </c>
      <c r="D24" s="38" t="s">
        <v>172</v>
      </c>
      <c r="E24" s="11" t="s">
        <v>119</v>
      </c>
      <c r="F24" s="34" t="s">
        <v>120</v>
      </c>
      <c r="G24" s="11">
        <v>2542159063</v>
      </c>
      <c r="H24" s="34" t="s">
        <v>47</v>
      </c>
      <c r="I24" s="12" t="s">
        <v>20</v>
      </c>
      <c r="J24" s="33" t="s">
        <v>47</v>
      </c>
      <c r="K24" s="41"/>
      <c r="L24" s="12" t="s">
        <v>99</v>
      </c>
      <c r="M24" s="12" t="s">
        <v>34</v>
      </c>
      <c r="N24" s="13">
        <v>12443188.880000001</v>
      </c>
      <c r="O24" s="63">
        <v>1798028.94</v>
      </c>
      <c r="P24" s="63">
        <v>783931.27</v>
      </c>
      <c r="Q24" s="63">
        <v>1601060.1921187993</v>
      </c>
      <c r="R24" s="63">
        <f t="shared" si="6"/>
        <v>13139472.400158161</v>
      </c>
      <c r="S24" s="14">
        <v>0.81</v>
      </c>
      <c r="T24" s="46">
        <f>ROUND(S24*'NEW 1. Summary'!$B$17,2)</f>
        <v>1.39</v>
      </c>
      <c r="U24" s="46">
        <f>ROUND(S24*'Internal BN Allotment &amp; IGT'!$F$3,2)</f>
        <v>0.68</v>
      </c>
      <c r="V24" s="46">
        <f>ROUND(U24*'Internal BN Allotment &amp; IGT'!$H$3,2)</f>
        <v>0.63</v>
      </c>
      <c r="W24" s="5">
        <f t="shared" si="7"/>
        <v>12482498.780150253</v>
      </c>
      <c r="X24" s="15">
        <f t="shared" si="8"/>
        <v>1296858.7556162276</v>
      </c>
      <c r="Y24" s="5">
        <f t="shared" si="9"/>
        <v>2897918.9477350269</v>
      </c>
      <c r="Z24" s="16">
        <f t="shared" si="10"/>
        <v>-11185640.024534026</v>
      </c>
      <c r="AA24" s="58" t="str">
        <f t="shared" si="11"/>
        <v>No</v>
      </c>
    </row>
    <row r="25" spans="1:27">
      <c r="A25" s="9" t="s">
        <v>253</v>
      </c>
      <c r="B25" s="10"/>
      <c r="C25" s="10" t="s">
        <v>254</v>
      </c>
      <c r="D25" s="38" t="s">
        <v>255</v>
      </c>
      <c r="E25" s="34"/>
      <c r="F25" s="34"/>
      <c r="G25" s="34"/>
      <c r="H25" s="34" t="s">
        <v>85</v>
      </c>
      <c r="I25" s="12" t="s">
        <v>20</v>
      </c>
      <c r="J25" s="33" t="s">
        <v>47</v>
      </c>
      <c r="K25" s="41"/>
      <c r="L25" s="12" t="s">
        <v>34</v>
      </c>
      <c r="M25" s="12" t="s">
        <v>34</v>
      </c>
      <c r="N25" s="13">
        <v>232772.42</v>
      </c>
      <c r="O25" s="63">
        <v>0</v>
      </c>
      <c r="P25" s="63">
        <v>820.16</v>
      </c>
      <c r="Q25" s="63">
        <v>412.00550761298342</v>
      </c>
      <c r="R25" s="63">
        <f t="shared" si="6"/>
        <v>245797.66630594002</v>
      </c>
      <c r="S25" s="14">
        <v>0.81</v>
      </c>
      <c r="T25" s="46">
        <f>ROUND(S25*'NEW 1. Summary'!$B$17,2)</f>
        <v>1.39</v>
      </c>
      <c r="U25" s="46">
        <f>ROUND(S25*'Internal BN Allotment &amp; IGT'!$F$3,2)</f>
        <v>0.68</v>
      </c>
      <c r="V25" s="46">
        <f>ROUND(U25*'Internal BN Allotment &amp; IGT'!$H$3,2)</f>
        <v>0.63</v>
      </c>
      <c r="W25" s="5">
        <f t="shared" si="7"/>
        <v>233507.782990643</v>
      </c>
      <c r="X25" s="15">
        <f t="shared" si="8"/>
        <v>333.72446116651662</v>
      </c>
      <c r="Y25" s="5">
        <f t="shared" si="9"/>
        <v>745.72996877950004</v>
      </c>
      <c r="Z25" s="16">
        <f t="shared" si="10"/>
        <v>-233174.05852947649</v>
      </c>
      <c r="AA25" s="58" t="str">
        <f t="shared" si="11"/>
        <v>No</v>
      </c>
    </row>
    <row r="26" spans="1:27">
      <c r="A26" s="9" t="s">
        <v>192</v>
      </c>
      <c r="B26" s="10"/>
      <c r="C26" s="119" t="s">
        <v>193</v>
      </c>
      <c r="D26" s="38" t="s">
        <v>194</v>
      </c>
      <c r="E26" s="34"/>
      <c r="F26" s="102"/>
      <c r="G26" s="34"/>
      <c r="H26" s="34" t="s">
        <v>85</v>
      </c>
      <c r="I26" s="12" t="s">
        <v>20</v>
      </c>
      <c r="J26" s="33" t="s">
        <v>47</v>
      </c>
      <c r="K26" s="41"/>
      <c r="L26" s="12" t="s">
        <v>34</v>
      </c>
      <c r="M26" s="12" t="s">
        <v>34</v>
      </c>
      <c r="N26" s="13">
        <v>628314.65</v>
      </c>
      <c r="O26" s="63">
        <v>0</v>
      </c>
      <c r="P26" s="63">
        <v>20834.91</v>
      </c>
      <c r="Q26" s="63">
        <v>0</v>
      </c>
      <c r="R26" s="63">
        <f t="shared" si="6"/>
        <v>663473.25287005003</v>
      </c>
      <c r="S26" s="14">
        <v>0.81</v>
      </c>
      <c r="T26" s="46">
        <f>ROUND(S26*'NEW 1. Summary'!$B$17,2)</f>
        <v>1.39</v>
      </c>
      <c r="U26" s="46">
        <f>ROUND(S26*'Internal BN Allotment &amp; IGT'!$F$3,2)</f>
        <v>0.68</v>
      </c>
      <c r="V26" s="46">
        <f>ROUND(U26*'Internal BN Allotment &amp; IGT'!$H$3,2)</f>
        <v>0.63</v>
      </c>
      <c r="W26" s="5">
        <f t="shared" si="7"/>
        <v>630299.59022654744</v>
      </c>
      <c r="X26" s="15">
        <f t="shared" si="8"/>
        <v>0</v>
      </c>
      <c r="Y26" s="5">
        <f t="shared" si="9"/>
        <v>0</v>
      </c>
      <c r="Z26" s="16">
        <f t="shared" si="10"/>
        <v>-630299.59022654744</v>
      </c>
      <c r="AA26" s="58" t="str">
        <f t="shared" si="11"/>
        <v>No</v>
      </c>
    </row>
    <row r="27" spans="1:27">
      <c r="A27" s="9" t="s">
        <v>178</v>
      </c>
      <c r="B27" s="10"/>
      <c r="C27" s="119" t="s">
        <v>179</v>
      </c>
      <c r="D27" s="38" t="s">
        <v>180</v>
      </c>
      <c r="E27" s="34" t="s">
        <v>181</v>
      </c>
      <c r="F27" s="34" t="s">
        <v>182</v>
      </c>
      <c r="G27" s="34"/>
      <c r="H27" s="34" t="s">
        <v>85</v>
      </c>
      <c r="I27" s="12" t="s">
        <v>20</v>
      </c>
      <c r="J27" s="33" t="s">
        <v>47</v>
      </c>
      <c r="K27" s="41"/>
      <c r="L27" s="12" t="s">
        <v>34</v>
      </c>
      <c r="M27" s="12" t="s">
        <v>34</v>
      </c>
      <c r="N27" s="13">
        <v>39970.6</v>
      </c>
      <c r="O27" s="63">
        <v>0</v>
      </c>
      <c r="P27" s="63">
        <v>173.4</v>
      </c>
      <c r="Q27" s="63">
        <v>0</v>
      </c>
      <c r="R27" s="63">
        <f t="shared" si="6"/>
        <v>42207.2348642</v>
      </c>
      <c r="S27" s="14">
        <v>0.81</v>
      </c>
      <c r="T27" s="46">
        <f>ROUND(S27*'NEW 1. Summary'!$B$17,2)</f>
        <v>1.39</v>
      </c>
      <c r="U27" s="46">
        <f>ROUND(S27*'Internal BN Allotment &amp; IGT'!$F$3,2)</f>
        <v>0.68</v>
      </c>
      <c r="V27" s="46">
        <f>ROUND(U27*'Internal BN Allotment &amp; IGT'!$H$3,2)</f>
        <v>0.63</v>
      </c>
      <c r="W27" s="5">
        <f t="shared" si="7"/>
        <v>40096.87312099</v>
      </c>
      <c r="X27" s="15">
        <f t="shared" si="8"/>
        <v>0</v>
      </c>
      <c r="Y27" s="5">
        <f t="shared" si="9"/>
        <v>0</v>
      </c>
      <c r="Z27" s="16">
        <f t="shared" si="10"/>
        <v>-40096.87312099</v>
      </c>
      <c r="AA27" s="58" t="str">
        <f t="shared" si="11"/>
        <v>No</v>
      </c>
    </row>
    <row r="28" spans="1:27">
      <c r="A28" s="21" t="s">
        <v>183</v>
      </c>
      <c r="B28" s="10"/>
      <c r="C28" s="119" t="s">
        <v>184</v>
      </c>
      <c r="D28" s="38" t="s">
        <v>185</v>
      </c>
      <c r="E28" s="34" t="s">
        <v>186</v>
      </c>
      <c r="F28" s="34" t="s">
        <v>187</v>
      </c>
      <c r="G28" s="34" t="s">
        <v>188</v>
      </c>
      <c r="H28" s="34" t="s">
        <v>85</v>
      </c>
      <c r="I28" s="12" t="s">
        <v>20</v>
      </c>
      <c r="J28" s="33" t="s">
        <v>47</v>
      </c>
      <c r="K28" s="41"/>
      <c r="L28" s="12" t="s">
        <v>34</v>
      </c>
      <c r="M28" s="12" t="s">
        <v>34</v>
      </c>
      <c r="N28" s="13">
        <v>2621657.4500000002</v>
      </c>
      <c r="O28" s="63">
        <v>76743.960000000006</v>
      </c>
      <c r="P28" s="63">
        <v>1042859.68</v>
      </c>
      <c r="Q28" s="63">
        <v>485840.62181603175</v>
      </c>
      <c r="R28" s="63">
        <f t="shared" si="6"/>
        <v>2768357.5359296501</v>
      </c>
      <c r="S28" s="14">
        <v>0.81</v>
      </c>
      <c r="T28" s="46">
        <f>ROUND(S28*'NEW 1. Summary'!$B$17,2)</f>
        <v>1.39</v>
      </c>
      <c r="U28" s="46">
        <f>ROUND(S28*'Internal BN Allotment &amp; IGT'!$F$3,2)</f>
        <v>0.68</v>
      </c>
      <c r="V28" s="46">
        <f>ROUND(U28*'Internal BN Allotment &amp; IGT'!$H$3,2)</f>
        <v>0.63</v>
      </c>
      <c r="W28" s="5">
        <f t="shared" si="7"/>
        <v>2629939.6591331675</v>
      </c>
      <c r="X28" s="15">
        <f t="shared" si="8"/>
        <v>393530.90367098572</v>
      </c>
      <c r="Y28" s="5">
        <f t="shared" si="9"/>
        <v>879371.52548701747</v>
      </c>
      <c r="Z28" s="16">
        <f t="shared" si="10"/>
        <v>-2236408.7554621818</v>
      </c>
      <c r="AA28" s="58" t="str">
        <f t="shared" si="11"/>
        <v>No</v>
      </c>
    </row>
    <row r="29" spans="1:27">
      <c r="A29" s="21" t="s">
        <v>189</v>
      </c>
      <c r="B29" s="10"/>
      <c r="C29" s="121" t="s">
        <v>190</v>
      </c>
      <c r="D29" s="38" t="s">
        <v>191</v>
      </c>
      <c r="E29" s="34" t="s">
        <v>317</v>
      </c>
      <c r="F29" s="57" t="s">
        <v>318</v>
      </c>
      <c r="G29" s="34"/>
      <c r="H29" s="34" t="s">
        <v>85</v>
      </c>
      <c r="I29" s="12" t="s">
        <v>20</v>
      </c>
      <c r="J29" s="33" t="s">
        <v>47</v>
      </c>
      <c r="K29" s="41"/>
      <c r="L29" s="12" t="s">
        <v>34</v>
      </c>
      <c r="M29" s="12" t="s">
        <v>34</v>
      </c>
      <c r="N29" s="13">
        <v>2092778.96</v>
      </c>
      <c r="O29" s="63">
        <v>0</v>
      </c>
      <c r="P29" s="63">
        <v>0</v>
      </c>
      <c r="Q29" s="63">
        <v>0</v>
      </c>
      <c r="R29" s="63">
        <f t="shared" si="6"/>
        <v>2209884.5922647202</v>
      </c>
      <c r="S29" s="14">
        <v>0.81</v>
      </c>
      <c r="T29" s="46">
        <f>ROUND(S29*'NEW 1. Summary'!$B$17,2)</f>
        <v>1.39</v>
      </c>
      <c r="U29" s="46">
        <f>ROUND(S29*'Internal BN Allotment &amp; IGT'!$F$3,2)</f>
        <v>0.68</v>
      </c>
      <c r="V29" s="46">
        <f>ROUND(U29*'Internal BN Allotment &amp; IGT'!$H$3,2)</f>
        <v>0.63</v>
      </c>
      <c r="W29" s="5">
        <f t="shared" si="7"/>
        <v>2099390.3626514841</v>
      </c>
      <c r="X29" s="15">
        <f t="shared" si="8"/>
        <v>0</v>
      </c>
      <c r="Y29" s="5">
        <f t="shared" si="9"/>
        <v>0</v>
      </c>
      <c r="Z29" s="16">
        <f t="shared" si="10"/>
        <v>-2099390.3626514841</v>
      </c>
      <c r="AA29" s="58" t="str">
        <f t="shared" si="11"/>
        <v>No</v>
      </c>
    </row>
    <row r="30" spans="1:27">
      <c r="A30" s="9" t="s">
        <v>201</v>
      </c>
      <c r="B30" s="10"/>
      <c r="C30" s="120" t="s">
        <v>202</v>
      </c>
      <c r="D30" s="38" t="s">
        <v>203</v>
      </c>
      <c r="E30" s="57" t="s">
        <v>315</v>
      </c>
      <c r="F30" s="57" t="s">
        <v>316</v>
      </c>
      <c r="G30" s="34"/>
      <c r="H30" s="34" t="s">
        <v>85</v>
      </c>
      <c r="I30" s="12" t="s">
        <v>20</v>
      </c>
      <c r="J30" s="33" t="s">
        <v>47</v>
      </c>
      <c r="K30" s="41"/>
      <c r="L30" s="12" t="s">
        <v>34</v>
      </c>
      <c r="M30" s="12" t="s">
        <v>34</v>
      </c>
      <c r="N30" s="13">
        <v>1018179</v>
      </c>
      <c r="O30" s="63">
        <v>0</v>
      </c>
      <c r="P30" s="63">
        <v>0</v>
      </c>
      <c r="Q30" s="63">
        <v>0</v>
      </c>
      <c r="R30" s="63">
        <f t="shared" si="6"/>
        <v>1075153.2423030001</v>
      </c>
      <c r="S30" s="14">
        <v>0.81</v>
      </c>
      <c r="T30" s="46">
        <f>ROUND(S30*'NEW 1. Summary'!$B$17,2)</f>
        <v>1.39</v>
      </c>
      <c r="U30" s="46">
        <f>ROUND(S30*'Internal BN Allotment &amp; IGT'!$F$3,2)</f>
        <v>0.68</v>
      </c>
      <c r="V30" s="46">
        <f>ROUND(U30*'Internal BN Allotment &amp; IGT'!$H$3,2)</f>
        <v>0.63</v>
      </c>
      <c r="W30" s="5">
        <f t="shared" si="7"/>
        <v>1021395.58018785</v>
      </c>
      <c r="X30" s="15">
        <f t="shared" si="8"/>
        <v>0</v>
      </c>
      <c r="Y30" s="5">
        <f t="shared" si="9"/>
        <v>0</v>
      </c>
      <c r="Z30" s="16">
        <f t="shared" si="10"/>
        <v>-1021395.58018785</v>
      </c>
      <c r="AA30" s="58" t="str">
        <f t="shared" si="11"/>
        <v>No</v>
      </c>
    </row>
    <row r="31" spans="1:27">
      <c r="A31" s="9" t="s">
        <v>151</v>
      </c>
      <c r="B31" s="10"/>
      <c r="C31" s="10" t="s">
        <v>152</v>
      </c>
      <c r="D31" s="38" t="s">
        <v>153</v>
      </c>
      <c r="E31" s="57" t="s">
        <v>315</v>
      </c>
      <c r="F31" s="57" t="s">
        <v>316</v>
      </c>
      <c r="G31" s="34"/>
      <c r="H31" s="34" t="s">
        <v>85</v>
      </c>
      <c r="I31" s="12" t="s">
        <v>20</v>
      </c>
      <c r="J31" s="33" t="s">
        <v>47</v>
      </c>
      <c r="K31" s="41"/>
      <c r="L31" s="12" t="s">
        <v>34</v>
      </c>
      <c r="M31" s="12" t="s">
        <v>34</v>
      </c>
      <c r="N31" s="13">
        <v>2644785</v>
      </c>
      <c r="O31" s="63">
        <v>0</v>
      </c>
      <c r="P31" s="63">
        <v>0</v>
      </c>
      <c r="Q31" s="63">
        <v>0</v>
      </c>
      <c r="R31" s="63">
        <f t="shared" si="6"/>
        <v>2792779.2342449999</v>
      </c>
      <c r="S31" s="14">
        <v>0.81</v>
      </c>
      <c r="T31" s="46">
        <f>ROUND(S31*'NEW 1. Summary'!$B$17,2)</f>
        <v>1.39</v>
      </c>
      <c r="U31" s="46">
        <f>ROUND(S31*'Internal BN Allotment &amp; IGT'!$F$3,2)</f>
        <v>0.68</v>
      </c>
      <c r="V31" s="46">
        <f>ROUND(U31*'Internal BN Allotment &amp; IGT'!$H$3,2)</f>
        <v>0.63</v>
      </c>
      <c r="W31" s="5">
        <f t="shared" si="7"/>
        <v>2653140.2725327499</v>
      </c>
      <c r="X31" s="15">
        <f t="shared" si="8"/>
        <v>0</v>
      </c>
      <c r="Y31" s="5">
        <f t="shared" si="9"/>
        <v>0</v>
      </c>
      <c r="Z31" s="16">
        <f t="shared" si="10"/>
        <v>-2653140.2725327499</v>
      </c>
      <c r="AA31" s="58" t="str">
        <f t="shared" si="11"/>
        <v>No</v>
      </c>
    </row>
    <row r="32" spans="1:27">
      <c r="A32" s="9" t="s">
        <v>198</v>
      </c>
      <c r="B32" s="10"/>
      <c r="C32" s="119" t="s">
        <v>199</v>
      </c>
      <c r="D32" s="38" t="s">
        <v>200</v>
      </c>
      <c r="E32" s="34" t="s">
        <v>341</v>
      </c>
      <c r="F32" t="s">
        <v>342</v>
      </c>
      <c r="G32" s="34">
        <v>9728996804</v>
      </c>
      <c r="H32" s="34" t="s">
        <v>85</v>
      </c>
      <c r="I32" s="12" t="s">
        <v>20</v>
      </c>
      <c r="J32" s="33" t="s">
        <v>47</v>
      </c>
      <c r="K32" s="41"/>
      <c r="L32" s="12" t="s">
        <v>34</v>
      </c>
      <c r="M32" s="12" t="s">
        <v>34</v>
      </c>
      <c r="N32" s="13">
        <v>3878092.61</v>
      </c>
      <c r="O32" s="63">
        <v>26317.25</v>
      </c>
      <c r="P32" s="63">
        <v>8311945.2199999997</v>
      </c>
      <c r="Q32" s="63">
        <v>1712595.0678466971</v>
      </c>
      <c r="R32" s="63">
        <f t="shared" si="6"/>
        <v>4095099.0381777701</v>
      </c>
      <c r="S32" s="14">
        <v>0.81</v>
      </c>
      <c r="T32" s="46">
        <f>ROUND(S32*'NEW 1. Summary'!$B$17,2)</f>
        <v>1.39</v>
      </c>
      <c r="U32" s="46">
        <f>ROUND(S32*'Internal BN Allotment &amp; IGT'!$F$3,2)</f>
        <v>0.68</v>
      </c>
      <c r="V32" s="46">
        <f>ROUND(U32*'Internal BN Allotment &amp; IGT'!$H$3,2)</f>
        <v>0.63</v>
      </c>
      <c r="W32" s="5">
        <f t="shared" si="7"/>
        <v>3890344.0862688813</v>
      </c>
      <c r="X32" s="15">
        <f t="shared" si="8"/>
        <v>1387202.0049558247</v>
      </c>
      <c r="Y32" s="5">
        <f t="shared" si="9"/>
        <v>3099797.0728025218</v>
      </c>
      <c r="Z32" s="16">
        <f t="shared" si="10"/>
        <v>-2503142.0813130569</v>
      </c>
      <c r="AA32" s="58" t="str">
        <f t="shared" si="11"/>
        <v>No</v>
      </c>
    </row>
    <row r="33" spans="1:27">
      <c r="A33" s="9" t="s">
        <v>154</v>
      </c>
      <c r="B33" s="10"/>
      <c r="C33" s="10" t="s">
        <v>155</v>
      </c>
      <c r="D33" s="117" t="s">
        <v>156</v>
      </c>
      <c r="E33" s="34"/>
      <c r="F33" s="34"/>
      <c r="G33" s="34"/>
      <c r="H33" s="34" t="s">
        <v>85</v>
      </c>
      <c r="I33" s="12" t="s">
        <v>20</v>
      </c>
      <c r="J33" s="33" t="s">
        <v>47</v>
      </c>
      <c r="K33" s="41"/>
      <c r="L33" s="12" t="s">
        <v>34</v>
      </c>
      <c r="M33" s="12" t="s">
        <v>34</v>
      </c>
      <c r="N33" s="13">
        <v>3998225</v>
      </c>
      <c r="O33" s="63">
        <v>0</v>
      </c>
      <c r="P33" s="63">
        <v>0</v>
      </c>
      <c r="Q33" s="63">
        <v>0</v>
      </c>
      <c r="R33" s="63">
        <f t="shared" si="6"/>
        <v>4221953.6763249999</v>
      </c>
      <c r="S33" s="14">
        <v>0.81</v>
      </c>
      <c r="T33" s="46">
        <f>ROUND(S33*'NEW 1. Summary'!$B$17,2)</f>
        <v>1.39</v>
      </c>
      <c r="U33" s="46">
        <f>ROUND(S33*'Internal BN Allotment &amp; IGT'!$F$3,2)</f>
        <v>0.68</v>
      </c>
      <c r="V33" s="46">
        <f>ROUND(U33*'Internal BN Allotment &amp; IGT'!$H$3,2)</f>
        <v>0.63</v>
      </c>
      <c r="W33" s="5">
        <f t="shared" si="7"/>
        <v>4010855.9925087495</v>
      </c>
      <c r="X33" s="15">
        <f t="shared" si="8"/>
        <v>0</v>
      </c>
      <c r="Y33" s="5">
        <f t="shared" si="9"/>
        <v>0</v>
      </c>
      <c r="Z33" s="16">
        <f t="shared" si="10"/>
        <v>-4010855.9925087495</v>
      </c>
      <c r="AA33" s="58" t="str">
        <f t="shared" si="11"/>
        <v>No</v>
      </c>
    </row>
    <row r="34" spans="1:27">
      <c r="A34" s="9" t="s">
        <v>204</v>
      </c>
      <c r="B34" s="10"/>
      <c r="C34" s="10" t="s">
        <v>205</v>
      </c>
      <c r="D34" s="38" t="s">
        <v>206</v>
      </c>
      <c r="E34" s="11" t="s">
        <v>119</v>
      </c>
      <c r="F34" s="34" t="s">
        <v>120</v>
      </c>
      <c r="G34" s="11">
        <v>2542159063</v>
      </c>
      <c r="H34" s="34" t="s">
        <v>47</v>
      </c>
      <c r="I34" s="12" t="s">
        <v>20</v>
      </c>
      <c r="J34" s="33" t="s">
        <v>47</v>
      </c>
      <c r="K34" s="41"/>
      <c r="L34" s="12" t="s">
        <v>99</v>
      </c>
      <c r="M34" s="12" t="s">
        <v>34</v>
      </c>
      <c r="N34" s="13">
        <v>6264062.5300000003</v>
      </c>
      <c r="O34" s="63">
        <v>643071.65</v>
      </c>
      <c r="P34" s="63">
        <v>203101.46999999997</v>
      </c>
      <c r="Q34" s="63">
        <v>299865.09802227997</v>
      </c>
      <c r="R34" s="63">
        <f t="shared" si="6"/>
        <v>6614580.6769912103</v>
      </c>
      <c r="S34" s="14">
        <v>0.81</v>
      </c>
      <c r="T34" s="46">
        <f>ROUND(S34*'NEW 1. Summary'!$B$17,2)</f>
        <v>1.39</v>
      </c>
      <c r="U34" s="46">
        <f>ROUND(S34*'Internal BN Allotment &amp; IGT'!$F$3,2)</f>
        <v>0.68</v>
      </c>
      <c r="V34" s="46">
        <f>ROUND(U34*'Internal BN Allotment &amp; IGT'!$H$3,2)</f>
        <v>0.63</v>
      </c>
      <c r="W34" s="5">
        <f t="shared" si="7"/>
        <v>6283851.6431416497</v>
      </c>
      <c r="X34" s="15">
        <f t="shared" si="8"/>
        <v>242890.72939804679</v>
      </c>
      <c r="Y34" s="5">
        <f t="shared" si="9"/>
        <v>542755.82742032676</v>
      </c>
      <c r="Z34" s="16">
        <f t="shared" si="10"/>
        <v>-6040960.913743603</v>
      </c>
      <c r="AA34" s="58" t="str">
        <f t="shared" si="11"/>
        <v>No</v>
      </c>
    </row>
    <row r="35" spans="1:27">
      <c r="A35" s="9" t="s">
        <v>207</v>
      </c>
      <c r="B35" s="10"/>
      <c r="C35" s="10" t="s">
        <v>208</v>
      </c>
      <c r="D35" s="38" t="s">
        <v>209</v>
      </c>
      <c r="E35" s="34" t="s">
        <v>19</v>
      </c>
      <c r="F35" s="34" t="s">
        <v>112</v>
      </c>
      <c r="G35" s="34">
        <v>2143458496</v>
      </c>
      <c r="H35" s="34" t="s">
        <v>47</v>
      </c>
      <c r="I35" s="12" t="s">
        <v>20</v>
      </c>
      <c r="J35" s="33" t="s">
        <v>47</v>
      </c>
      <c r="K35" s="41"/>
      <c r="L35" s="12" t="s">
        <v>34</v>
      </c>
      <c r="M35" s="12" t="s">
        <v>34</v>
      </c>
      <c r="N35" s="13">
        <v>60341339.270000003</v>
      </c>
      <c r="O35" s="63">
        <v>15409726.1</v>
      </c>
      <c r="P35" s="63">
        <v>5817742.3900000006</v>
      </c>
      <c r="Q35" s="63">
        <v>20133817.210373633</v>
      </c>
      <c r="R35" s="63">
        <f t="shared" si="6"/>
        <v>63717859.591531396</v>
      </c>
      <c r="S35" s="14">
        <v>0.81</v>
      </c>
      <c r="T35" s="46">
        <f>ROUND(S35*'NEW 1. Summary'!$B$17,2)</f>
        <v>1.39</v>
      </c>
      <c r="U35" s="46">
        <f>ROUND(S35*'Internal BN Allotment &amp; IGT'!$F$3,2)</f>
        <v>0.68</v>
      </c>
      <c r="V35" s="46">
        <f>ROUND(U35*'Internal BN Allotment &amp; IGT'!$H$3,2)</f>
        <v>0.63</v>
      </c>
      <c r="W35" s="5">
        <f t="shared" si="7"/>
        <v>60531966.611954823</v>
      </c>
      <c r="X35" s="15">
        <f t="shared" si="8"/>
        <v>16308391.940402644</v>
      </c>
      <c r="Y35" s="5">
        <f t="shared" si="9"/>
        <v>36442209.150776275</v>
      </c>
      <c r="Z35" s="16">
        <f t="shared" si="10"/>
        <v>-44223574.671552181</v>
      </c>
      <c r="AA35" s="58" t="str">
        <f t="shared" si="11"/>
        <v>No</v>
      </c>
    </row>
    <row r="36" spans="1:27">
      <c r="A36" s="9" t="s">
        <v>210</v>
      </c>
      <c r="B36" s="10" t="s">
        <v>353</v>
      </c>
      <c r="C36" s="10" t="s">
        <v>211</v>
      </c>
      <c r="D36" s="38" t="s">
        <v>212</v>
      </c>
      <c r="E36" s="34" t="s">
        <v>345</v>
      </c>
      <c r="F36" s="34" t="s">
        <v>346</v>
      </c>
      <c r="G36" s="34" t="s">
        <v>347</v>
      </c>
      <c r="H36" s="34" t="s">
        <v>47</v>
      </c>
      <c r="I36" s="12" t="s">
        <v>20</v>
      </c>
      <c r="J36" s="33" t="s">
        <v>47</v>
      </c>
      <c r="K36" s="41"/>
      <c r="L36" s="12" t="s">
        <v>34</v>
      </c>
      <c r="M36" s="12" t="s">
        <v>34</v>
      </c>
      <c r="N36" s="13">
        <v>45697690.5</v>
      </c>
      <c r="O36" s="63">
        <v>38718337.740000002</v>
      </c>
      <c r="P36" s="63">
        <v>8321102.9699999997</v>
      </c>
      <c r="Q36" s="63">
        <v>42748981.529027931</v>
      </c>
      <c r="R36" s="63">
        <f t="shared" si="6"/>
        <v>48254796.167308502</v>
      </c>
      <c r="S36" s="14">
        <v>0.81</v>
      </c>
      <c r="T36" s="46">
        <f>ROUND(S36*'NEW 1. Summary'!$B$17,2)</f>
        <v>1.39</v>
      </c>
      <c r="U36" s="46">
        <f>ROUND(S36*'Internal BN Allotment &amp; IGT'!$F$3,2)</f>
        <v>0.68</v>
      </c>
      <c r="V36" s="46">
        <f>ROUND(U36*'Internal BN Allotment &amp; IGT'!$H$3,2)</f>
        <v>0.63</v>
      </c>
      <c r="W36" s="5">
        <f t="shared" si="7"/>
        <v>45842056.358943075</v>
      </c>
      <c r="X36" s="15">
        <f t="shared" si="8"/>
        <v>34626675.038512625</v>
      </c>
      <c r="Y36" s="5">
        <f t="shared" si="9"/>
        <v>77375656.567540556</v>
      </c>
      <c r="Z36" s="16">
        <f t="shared" si="10"/>
        <v>-11215381.32043045</v>
      </c>
      <c r="AA36" s="58" t="str">
        <f t="shared" si="11"/>
        <v>No</v>
      </c>
    </row>
    <row r="37" spans="1:27">
      <c r="A37" s="9" t="s">
        <v>213</v>
      </c>
      <c r="B37" s="10"/>
      <c r="C37" s="10" t="s">
        <v>214</v>
      </c>
      <c r="D37" s="38" t="s">
        <v>215</v>
      </c>
      <c r="E37" s="11" t="s">
        <v>119</v>
      </c>
      <c r="F37" s="34" t="s">
        <v>120</v>
      </c>
      <c r="G37" s="11">
        <v>2542159063</v>
      </c>
      <c r="H37" s="34" t="s">
        <v>47</v>
      </c>
      <c r="I37" s="12" t="s">
        <v>20</v>
      </c>
      <c r="J37" s="33" t="s">
        <v>47</v>
      </c>
      <c r="K37" s="41"/>
      <c r="L37" s="12" t="s">
        <v>150</v>
      </c>
      <c r="M37" s="12" t="s">
        <v>34</v>
      </c>
      <c r="N37" s="13">
        <v>17042856.949999999</v>
      </c>
      <c r="O37" s="63">
        <v>5027620.84</v>
      </c>
      <c r="P37" s="63">
        <v>2080696.8900000001</v>
      </c>
      <c r="Q37" s="63">
        <v>5975752.4708459862</v>
      </c>
      <c r="R37" s="63">
        <f t="shared" si="6"/>
        <v>17996524.09635115</v>
      </c>
      <c r="S37" s="14">
        <v>0.81</v>
      </c>
      <c r="T37" s="46">
        <f>ROUND(S37*'NEW 1. Summary'!$B$17,2)</f>
        <v>1.39</v>
      </c>
      <c r="U37" s="46">
        <f>ROUND(S37*'Internal BN Allotment &amp; IGT'!$F$3,2)</f>
        <v>0.68</v>
      </c>
      <c r="V37" s="46">
        <f>ROUND(U37*'Internal BN Allotment &amp; IGT'!$H$3,2)</f>
        <v>0.63</v>
      </c>
      <c r="W37" s="5">
        <f t="shared" si="7"/>
        <v>17096697.891533591</v>
      </c>
      <c r="X37" s="15">
        <f t="shared" si="8"/>
        <v>4840359.5013852492</v>
      </c>
      <c r="Y37" s="5">
        <f t="shared" si="9"/>
        <v>10816111.972231235</v>
      </c>
      <c r="Z37" s="16">
        <f t="shared" si="10"/>
        <v>-12256338.390148342</v>
      </c>
      <c r="AA37" s="58" t="str">
        <f t="shared" si="11"/>
        <v>No</v>
      </c>
    </row>
    <row r="38" spans="1:27">
      <c r="A38" s="9" t="s">
        <v>216</v>
      </c>
      <c r="B38" s="10" t="s">
        <v>354</v>
      </c>
      <c r="C38" s="10" t="s">
        <v>217</v>
      </c>
      <c r="D38" s="38" t="s">
        <v>218</v>
      </c>
      <c r="E38" s="34" t="s">
        <v>345</v>
      </c>
      <c r="F38" s="34" t="s">
        <v>346</v>
      </c>
      <c r="G38" s="34" t="s">
        <v>347</v>
      </c>
      <c r="H38" s="34" t="s">
        <v>47</v>
      </c>
      <c r="I38" s="12" t="s">
        <v>20</v>
      </c>
      <c r="J38" s="33" t="s">
        <v>47</v>
      </c>
      <c r="K38" s="41"/>
      <c r="L38" s="12" t="s">
        <v>34</v>
      </c>
      <c r="M38" s="12" t="s">
        <v>34</v>
      </c>
      <c r="N38" s="13">
        <v>4714225.84</v>
      </c>
      <c r="O38" s="63">
        <v>1697499.54</v>
      </c>
      <c r="P38" s="63">
        <v>1160694.5100000002</v>
      </c>
      <c r="Q38" s="63">
        <v>3280842.946370895</v>
      </c>
      <c r="R38" s="63">
        <f t="shared" si="6"/>
        <v>4978019.7753288802</v>
      </c>
      <c r="S38" s="14">
        <v>0.81</v>
      </c>
      <c r="T38" s="46">
        <f>ROUND(S38*'NEW 1. Summary'!$B$17,2)</f>
        <v>1.39</v>
      </c>
      <c r="U38" s="46">
        <f>ROUND(S38*'Internal BN Allotment &amp; IGT'!$F$3,2)</f>
        <v>0.68</v>
      </c>
      <c r="V38" s="46">
        <f>ROUND(U38*'Internal BN Allotment &amp; IGT'!$H$3,2)</f>
        <v>0.63</v>
      </c>
      <c r="W38" s="5">
        <f t="shared" si="7"/>
        <v>4729118.7865624363</v>
      </c>
      <c r="X38" s="15">
        <f t="shared" si="8"/>
        <v>2657482.7865604251</v>
      </c>
      <c r="Y38" s="5">
        <f t="shared" si="9"/>
        <v>5938325.7329313196</v>
      </c>
      <c r="Z38" s="16">
        <f t="shared" si="10"/>
        <v>-2071636.0000020112</v>
      </c>
      <c r="AA38" s="58" t="str">
        <f t="shared" si="11"/>
        <v>No</v>
      </c>
    </row>
    <row r="39" spans="1:27">
      <c r="A39" s="9" t="s">
        <v>219</v>
      </c>
      <c r="B39" s="10"/>
      <c r="C39" s="10" t="s">
        <v>220</v>
      </c>
      <c r="D39" s="38" t="s">
        <v>221</v>
      </c>
      <c r="E39" s="34" t="s">
        <v>19</v>
      </c>
      <c r="F39" s="34" t="s">
        <v>112</v>
      </c>
      <c r="G39" s="34">
        <v>9729327354</v>
      </c>
      <c r="H39" s="34" t="s">
        <v>47</v>
      </c>
      <c r="I39" s="12" t="s">
        <v>20</v>
      </c>
      <c r="J39" s="33" t="s">
        <v>47</v>
      </c>
      <c r="K39" s="41"/>
      <c r="L39" s="12" t="s">
        <v>222</v>
      </c>
      <c r="M39" s="12" t="s">
        <v>34</v>
      </c>
      <c r="N39" s="13">
        <v>4655095.09</v>
      </c>
      <c r="O39" s="63">
        <v>227548.94</v>
      </c>
      <c r="P39" s="63">
        <v>1726031.74</v>
      </c>
      <c r="Q39" s="63">
        <v>1310431.6457539732</v>
      </c>
      <c r="R39" s="63">
        <f t="shared" si="6"/>
        <v>4915580.2459511301</v>
      </c>
      <c r="S39" s="14">
        <v>0.81</v>
      </c>
      <c r="T39" s="46">
        <f>ROUND(S39*'NEW 1. Summary'!$B$17,2)</f>
        <v>1.39</v>
      </c>
      <c r="U39" s="46">
        <f>ROUND(S39*'Internal BN Allotment &amp; IGT'!$F$3,2)</f>
        <v>0.68</v>
      </c>
      <c r="V39" s="46">
        <f>ROUND(U39*'Internal BN Allotment &amp; IGT'!$H$3,2)</f>
        <v>0.63</v>
      </c>
      <c r="W39" s="5">
        <f t="shared" si="7"/>
        <v>4669801.2336535733</v>
      </c>
      <c r="X39" s="15">
        <f t="shared" si="8"/>
        <v>1061449.6330607184</v>
      </c>
      <c r="Y39" s="5">
        <f t="shared" si="9"/>
        <v>2371881.2788146916</v>
      </c>
      <c r="Z39" s="16">
        <f t="shared" si="10"/>
        <v>-3608351.6005928549</v>
      </c>
      <c r="AA39" s="58" t="str">
        <f t="shared" si="11"/>
        <v>No</v>
      </c>
    </row>
    <row r="40" spans="1:27">
      <c r="A40" s="9" t="s">
        <v>223</v>
      </c>
      <c r="B40" s="10"/>
      <c r="C40" s="10" t="s">
        <v>224</v>
      </c>
      <c r="D40" s="38" t="s">
        <v>225</v>
      </c>
      <c r="E40" s="34" t="s">
        <v>19</v>
      </c>
      <c r="F40" s="34" t="s">
        <v>112</v>
      </c>
      <c r="G40" s="34">
        <v>9729818142</v>
      </c>
      <c r="H40" s="34" t="s">
        <v>47</v>
      </c>
      <c r="I40" s="12" t="s">
        <v>20</v>
      </c>
      <c r="J40" s="33" t="s">
        <v>47</v>
      </c>
      <c r="K40" s="41"/>
      <c r="L40" s="12" t="s">
        <v>99</v>
      </c>
      <c r="M40" s="12" t="s">
        <v>34</v>
      </c>
      <c r="N40" s="13">
        <v>18588508.489999998</v>
      </c>
      <c r="O40" s="63">
        <v>3245147.28</v>
      </c>
      <c r="P40" s="63">
        <v>1196954.6600000001</v>
      </c>
      <c r="Q40" s="63">
        <v>4638741.0702730166</v>
      </c>
      <c r="R40" s="63">
        <f t="shared" si="6"/>
        <v>19628665.65957493</v>
      </c>
      <c r="S40" s="14">
        <v>0.81</v>
      </c>
      <c r="T40" s="46">
        <f>ROUND(S40*'NEW 1. Summary'!$B$17,2)</f>
        <v>1.39</v>
      </c>
      <c r="U40" s="46">
        <f>ROUND(S40*'Internal BN Allotment &amp; IGT'!$F$3,2)</f>
        <v>0.68</v>
      </c>
      <c r="V40" s="46">
        <f>ROUND(U40*'Internal BN Allotment &amp; IGT'!$H$3,2)</f>
        <v>0.63</v>
      </c>
      <c r="W40" s="5">
        <f t="shared" si="7"/>
        <v>18647232.376596183</v>
      </c>
      <c r="X40" s="15">
        <f t="shared" si="8"/>
        <v>3757380.2669211435</v>
      </c>
      <c r="Y40" s="5">
        <f t="shared" si="9"/>
        <v>8396121.3371941596</v>
      </c>
      <c r="Z40" s="16">
        <f t="shared" si="10"/>
        <v>-14889852.109675039</v>
      </c>
      <c r="AA40" s="58" t="str">
        <f t="shared" si="11"/>
        <v>No</v>
      </c>
    </row>
    <row r="41" spans="1:27">
      <c r="A41" s="9" t="s">
        <v>226</v>
      </c>
      <c r="B41" s="10" t="s">
        <v>355</v>
      </c>
      <c r="C41" s="10" t="s">
        <v>227</v>
      </c>
      <c r="D41" s="38" t="s">
        <v>228</v>
      </c>
      <c r="E41" s="34" t="s">
        <v>345</v>
      </c>
      <c r="F41" s="34" t="s">
        <v>346</v>
      </c>
      <c r="G41" s="34" t="s">
        <v>347</v>
      </c>
      <c r="H41" s="34" t="s">
        <v>47</v>
      </c>
      <c r="I41" s="12" t="s">
        <v>20</v>
      </c>
      <c r="J41" s="33" t="s">
        <v>47</v>
      </c>
      <c r="K41" s="41"/>
      <c r="L41" s="12" t="s">
        <v>99</v>
      </c>
      <c r="M41" s="12" t="s">
        <v>34</v>
      </c>
      <c r="N41" s="13">
        <v>17053643.59</v>
      </c>
      <c r="O41" s="63">
        <v>5502941.9400000004</v>
      </c>
      <c r="P41" s="63">
        <v>1566929.6500000001</v>
      </c>
      <c r="Q41" s="63">
        <v>6360294.2510852758</v>
      </c>
      <c r="R41" s="63">
        <f t="shared" si="6"/>
        <v>18007914.324365631</v>
      </c>
      <c r="S41" s="14">
        <v>0.81</v>
      </c>
      <c r="T41" s="46">
        <f>ROUND(S41*'NEW 1. Summary'!$B$17,2)</f>
        <v>1.39</v>
      </c>
      <c r="U41" s="46">
        <f>ROUND(S41*'Internal BN Allotment &amp; IGT'!$F$3,2)</f>
        <v>0.68</v>
      </c>
      <c r="V41" s="46">
        <f>ROUND(U41*'Internal BN Allotment &amp; IGT'!$H$3,2)</f>
        <v>0.63</v>
      </c>
      <c r="W41" s="5">
        <f t="shared" si="7"/>
        <v>17107518.608147349</v>
      </c>
      <c r="X41" s="15">
        <f t="shared" si="8"/>
        <v>5151838.3433790738</v>
      </c>
      <c r="Y41" s="5">
        <f t="shared" si="9"/>
        <v>11512132.59446435</v>
      </c>
      <c r="Z41" s="16">
        <f t="shared" si="10"/>
        <v>-11955680.264768276</v>
      </c>
      <c r="AA41" s="58" t="str">
        <f t="shared" si="11"/>
        <v>No</v>
      </c>
    </row>
    <row r="42" spans="1:27">
      <c r="A42" s="9" t="s">
        <v>229</v>
      </c>
      <c r="B42" s="10"/>
      <c r="C42" s="10" t="s">
        <v>230</v>
      </c>
      <c r="D42" s="38" t="s">
        <v>231</v>
      </c>
      <c r="E42" s="34" t="s">
        <v>21</v>
      </c>
      <c r="F42" s="34" t="s">
        <v>22</v>
      </c>
      <c r="G42" s="34">
        <v>2149477777</v>
      </c>
      <c r="H42" s="34" t="s">
        <v>47</v>
      </c>
      <c r="I42" s="12" t="s">
        <v>20</v>
      </c>
      <c r="J42" s="33" t="s">
        <v>47</v>
      </c>
      <c r="K42" s="41"/>
      <c r="L42" s="12" t="s">
        <v>34</v>
      </c>
      <c r="M42" s="12" t="s">
        <v>34</v>
      </c>
      <c r="N42" s="13">
        <v>35184355.109999999</v>
      </c>
      <c r="O42" s="63">
        <v>6768573.7400000002</v>
      </c>
      <c r="P42" s="63">
        <v>6156598.7000000002</v>
      </c>
      <c r="Q42" s="63">
        <v>11521703.087658241</v>
      </c>
      <c r="R42" s="63">
        <f t="shared" si="6"/>
        <v>37153166.068890274</v>
      </c>
      <c r="S42" s="14">
        <v>0.81</v>
      </c>
      <c r="T42" s="46">
        <f>ROUND(S42*'NEW 1. Summary'!$B$17,2)</f>
        <v>1.39</v>
      </c>
      <c r="U42" s="46">
        <f>ROUND(S42*'Internal BN Allotment &amp; IGT'!$F$3,2)</f>
        <v>0.68</v>
      </c>
      <c r="V42" s="46">
        <f>ROUND(U42*'Internal BN Allotment &amp; IGT'!$H$3,2)</f>
        <v>0.63</v>
      </c>
      <c r="W42" s="5">
        <f t="shared" si="7"/>
        <v>35295507.765445761</v>
      </c>
      <c r="X42" s="15">
        <f t="shared" si="8"/>
        <v>9332579.501003176</v>
      </c>
      <c r="Y42" s="5">
        <f t="shared" si="9"/>
        <v>20854282.588661417</v>
      </c>
      <c r="Z42" s="16">
        <f t="shared" si="10"/>
        <v>-25962928.264442585</v>
      </c>
      <c r="AA42" s="58" t="str">
        <f t="shared" si="11"/>
        <v>No</v>
      </c>
    </row>
    <row r="43" spans="1:27">
      <c r="A43" s="9" t="s">
        <v>232</v>
      </c>
      <c r="B43" s="10" t="s">
        <v>356</v>
      </c>
      <c r="C43" s="10" t="s">
        <v>233</v>
      </c>
      <c r="D43" s="38" t="s">
        <v>234</v>
      </c>
      <c r="E43" s="34" t="s">
        <v>345</v>
      </c>
      <c r="F43" s="34" t="s">
        <v>346</v>
      </c>
      <c r="G43" s="34" t="s">
        <v>347</v>
      </c>
      <c r="H43" s="34" t="s">
        <v>47</v>
      </c>
      <c r="I43" s="12" t="s">
        <v>20</v>
      </c>
      <c r="J43" s="33" t="s">
        <v>47</v>
      </c>
      <c r="K43" s="41"/>
      <c r="L43" s="12" t="s">
        <v>99</v>
      </c>
      <c r="M43" s="12" t="s">
        <v>34</v>
      </c>
      <c r="N43" s="13">
        <v>21812681.539999999</v>
      </c>
      <c r="O43" s="63">
        <v>9955226.0600000005</v>
      </c>
      <c r="P43" s="63">
        <v>1673723.6400000001</v>
      </c>
      <c r="Q43" s="63">
        <v>9669907.8588870037</v>
      </c>
      <c r="R43" s="63">
        <f t="shared" si="6"/>
        <v>23033253.760933779</v>
      </c>
      <c r="S43" s="14">
        <v>0.81</v>
      </c>
      <c r="T43" s="46">
        <f>ROUND(S43*'NEW 1. Summary'!$B$17,2)</f>
        <v>1.39</v>
      </c>
      <c r="U43" s="46">
        <f>ROUND(S43*'Internal BN Allotment &amp; IGT'!$F$3,2)</f>
        <v>0.68</v>
      </c>
      <c r="V43" s="46">
        <f>ROUND(U43*'Internal BN Allotment &amp; IGT'!$H$3,2)</f>
        <v>0.63</v>
      </c>
      <c r="W43" s="5">
        <f t="shared" si="7"/>
        <v>21881591.072887089</v>
      </c>
      <c r="X43" s="15">
        <f t="shared" si="8"/>
        <v>7832625.3656984735</v>
      </c>
      <c r="Y43" s="5">
        <f t="shared" si="9"/>
        <v>17502533.224585477</v>
      </c>
      <c r="Z43" s="16">
        <f t="shared" si="10"/>
        <v>-14048965.707188616</v>
      </c>
      <c r="AA43" s="58" t="str">
        <f t="shared" si="11"/>
        <v>No</v>
      </c>
    </row>
    <row r="44" spans="1:27">
      <c r="A44" s="9" t="s">
        <v>235</v>
      </c>
      <c r="B44" s="10"/>
      <c r="C44" s="10" t="s">
        <v>236</v>
      </c>
      <c r="D44" s="38" t="s">
        <v>237</v>
      </c>
      <c r="E44" s="34" t="s">
        <v>21</v>
      </c>
      <c r="F44" s="34" t="s">
        <v>22</v>
      </c>
      <c r="G44" s="34">
        <v>2149478181</v>
      </c>
      <c r="H44" s="34" t="s">
        <v>47</v>
      </c>
      <c r="I44" s="12" t="s">
        <v>20</v>
      </c>
      <c r="J44" s="33" t="s">
        <v>47</v>
      </c>
      <c r="K44" s="41"/>
      <c r="L44" s="12" t="s">
        <v>34</v>
      </c>
      <c r="M44" s="12" t="s">
        <v>34</v>
      </c>
      <c r="N44" s="13">
        <v>60506747.840000004</v>
      </c>
      <c r="O44" s="63">
        <v>15874386.25</v>
      </c>
      <c r="P44" s="63">
        <v>6935053.9900000002</v>
      </c>
      <c r="Q44" s="63">
        <v>20339957.846245714</v>
      </c>
      <c r="R44" s="63">
        <f t="shared" si="6"/>
        <v>63892523.928882889</v>
      </c>
      <c r="S44" s="14">
        <v>0.81</v>
      </c>
      <c r="T44" s="46">
        <f>ROUND(S44*'NEW 1. Summary'!$B$17,2)</f>
        <v>1.39</v>
      </c>
      <c r="U44" s="46">
        <f>ROUND(S44*'Internal BN Allotment &amp; IGT'!$F$3,2)</f>
        <v>0.68</v>
      </c>
      <c r="V44" s="46">
        <f>ROUND(U44*'Internal BN Allotment &amp; IGT'!$H$3,2)</f>
        <v>0.63</v>
      </c>
      <c r="W44" s="5">
        <f t="shared" si="7"/>
        <v>60697897.732438743</v>
      </c>
      <c r="X44" s="15">
        <f t="shared" si="8"/>
        <v>16475365.855459029</v>
      </c>
      <c r="Y44" s="5">
        <f t="shared" si="9"/>
        <v>36815323.701704741</v>
      </c>
      <c r="Z44" s="16">
        <f t="shared" si="10"/>
        <v>-44222531.876979716</v>
      </c>
      <c r="AA44" s="58" t="str">
        <f t="shared" si="11"/>
        <v>No</v>
      </c>
    </row>
    <row r="45" spans="1:27">
      <c r="A45" s="9" t="s">
        <v>238</v>
      </c>
      <c r="B45" s="10"/>
      <c r="C45" s="10" t="s">
        <v>239</v>
      </c>
      <c r="D45" s="38" t="s">
        <v>240</v>
      </c>
      <c r="E45" s="11" t="s">
        <v>119</v>
      </c>
      <c r="F45" s="34" t="s">
        <v>120</v>
      </c>
      <c r="G45" s="11">
        <v>2542159063</v>
      </c>
      <c r="H45" s="34" t="s">
        <v>47</v>
      </c>
      <c r="I45" s="12" t="s">
        <v>20</v>
      </c>
      <c r="J45" s="33" t="s">
        <v>47</v>
      </c>
      <c r="K45" s="41"/>
      <c r="L45" s="12" t="s">
        <v>129</v>
      </c>
      <c r="M45" s="12" t="s">
        <v>34</v>
      </c>
      <c r="N45" s="13">
        <v>11776900.810000001</v>
      </c>
      <c r="O45" s="63">
        <v>1497579.6099999999</v>
      </c>
      <c r="P45" s="63">
        <v>1674428.8900000001</v>
      </c>
      <c r="Q45" s="63">
        <v>2359177.2712290576</v>
      </c>
      <c r="R45" s="63">
        <f t="shared" si="6"/>
        <v>12435900.84862517</v>
      </c>
      <c r="S45" s="14">
        <v>0.81</v>
      </c>
      <c r="T45" s="46">
        <f>ROUND(S45*'NEW 1. Summary'!$B$17,2)</f>
        <v>1.39</v>
      </c>
      <c r="U45" s="46">
        <f>ROUND(S45*'Internal BN Allotment &amp; IGT'!$F$3,2)</f>
        <v>0.68</v>
      </c>
      <c r="V45" s="46">
        <f>ROUND(U45*'Internal BN Allotment &amp; IGT'!$H$3,2)</f>
        <v>0.63</v>
      </c>
      <c r="W45" s="5">
        <f t="shared" si="7"/>
        <v>11814105.806193911</v>
      </c>
      <c r="X45" s="15">
        <f t="shared" si="8"/>
        <v>1910933.5896955368</v>
      </c>
      <c r="Y45" s="5">
        <f t="shared" si="9"/>
        <v>4270110.8609245941</v>
      </c>
      <c r="Z45" s="16">
        <f t="shared" si="10"/>
        <v>-9903172.2164983731</v>
      </c>
      <c r="AA45" s="58" t="str">
        <f t="shared" si="11"/>
        <v>No</v>
      </c>
    </row>
    <row r="46" spans="1:27">
      <c r="A46" s="9" t="s">
        <v>241</v>
      </c>
      <c r="B46" s="10"/>
      <c r="C46" s="10" t="s">
        <v>242</v>
      </c>
      <c r="D46" s="38" t="s">
        <v>243</v>
      </c>
      <c r="E46" s="11" t="s">
        <v>119</v>
      </c>
      <c r="F46" s="34" t="s">
        <v>120</v>
      </c>
      <c r="G46" s="11">
        <v>2542159063</v>
      </c>
      <c r="H46" s="34" t="s">
        <v>47</v>
      </c>
      <c r="I46" s="12" t="s">
        <v>20</v>
      </c>
      <c r="J46" s="33" t="s">
        <v>47</v>
      </c>
      <c r="K46" s="41"/>
      <c r="L46" s="12" t="s">
        <v>34</v>
      </c>
      <c r="M46" s="12" t="s">
        <v>34</v>
      </c>
      <c r="N46" s="13">
        <v>103532561.27</v>
      </c>
      <c r="O46" s="63">
        <v>21569445.450000003</v>
      </c>
      <c r="P46" s="63">
        <v>3465063.55</v>
      </c>
      <c r="Q46" s="63">
        <v>16355444.51793387</v>
      </c>
      <c r="R46" s="63">
        <f t="shared" si="6"/>
        <v>109325932.8009854</v>
      </c>
      <c r="S46" s="14">
        <v>0.81</v>
      </c>
      <c r="T46" s="46">
        <f>ROUND(S46*'NEW 1. Summary'!$B$17,2)</f>
        <v>1.39</v>
      </c>
      <c r="U46" s="46">
        <f>ROUND(S46*'Internal BN Allotment &amp; IGT'!$F$3,2)</f>
        <v>0.68</v>
      </c>
      <c r="V46" s="46">
        <f>ROUND(U46*'Internal BN Allotment &amp; IGT'!$H$3,2)</f>
        <v>0.63</v>
      </c>
      <c r="W46" s="5">
        <f t="shared" si="7"/>
        <v>103859636.16093612</v>
      </c>
      <c r="X46" s="15">
        <f t="shared" si="8"/>
        <v>13247910.059526436</v>
      </c>
      <c r="Y46" s="5">
        <f t="shared" si="9"/>
        <v>29603354.577460304</v>
      </c>
      <c r="Z46" s="16">
        <f t="shared" si="10"/>
        <v>-90611726.101409674</v>
      </c>
      <c r="AA46" s="58" t="str">
        <f t="shared" si="11"/>
        <v>No</v>
      </c>
    </row>
    <row r="47" spans="1:27">
      <c r="A47" s="9" t="s">
        <v>244</v>
      </c>
      <c r="B47" s="10"/>
      <c r="C47" s="10" t="s">
        <v>245</v>
      </c>
      <c r="D47" s="38" t="s">
        <v>246</v>
      </c>
      <c r="E47" s="11" t="s">
        <v>119</v>
      </c>
      <c r="F47" s="34" t="s">
        <v>120</v>
      </c>
      <c r="G47" s="11">
        <v>2542159063</v>
      </c>
      <c r="H47" s="34" t="s">
        <v>47</v>
      </c>
      <c r="I47" s="12" t="s">
        <v>20</v>
      </c>
      <c r="J47" s="33" t="s">
        <v>47</v>
      </c>
      <c r="K47" s="41"/>
      <c r="L47" s="12" t="s">
        <v>99</v>
      </c>
      <c r="M47" s="12" t="s">
        <v>34</v>
      </c>
      <c r="N47" s="13">
        <v>5223061.7699999996</v>
      </c>
      <c r="O47" s="63">
        <v>171001.95</v>
      </c>
      <c r="P47" s="63">
        <v>146577.70000000001</v>
      </c>
      <c r="Q47" s="63">
        <v>199657.87582201889</v>
      </c>
      <c r="R47" s="63">
        <f t="shared" si="6"/>
        <v>5515328.63746389</v>
      </c>
      <c r="S47" s="14">
        <v>0.81</v>
      </c>
      <c r="T47" s="46">
        <f>ROUND(S47*'NEW 1. Summary'!$B$17,2)</f>
        <v>1.39</v>
      </c>
      <c r="U47" s="46">
        <f>ROUND(S47*'Internal BN Allotment &amp; IGT'!$F$3,2)</f>
        <v>0.68</v>
      </c>
      <c r="V47" s="46">
        <f>ROUND(U47*'Internal BN Allotment &amp; IGT'!$H$3,2)</f>
        <v>0.63</v>
      </c>
      <c r="W47" s="5">
        <f t="shared" si="7"/>
        <v>5239562.2055906951</v>
      </c>
      <c r="X47" s="15">
        <f t="shared" si="8"/>
        <v>161722.87941583531</v>
      </c>
      <c r="Y47" s="5">
        <f t="shared" si="9"/>
        <v>361380.7552378542</v>
      </c>
      <c r="Z47" s="16">
        <f t="shared" si="10"/>
        <v>-5077839.3261748599</v>
      </c>
      <c r="AA47" s="58" t="str">
        <f t="shared" si="11"/>
        <v>No</v>
      </c>
    </row>
    <row r="48" spans="1:27">
      <c r="A48" s="9" t="s">
        <v>247</v>
      </c>
      <c r="B48" s="10"/>
      <c r="C48" s="10" t="s">
        <v>248</v>
      </c>
      <c r="D48" s="38" t="s">
        <v>249</v>
      </c>
      <c r="E48" s="34" t="s">
        <v>19</v>
      </c>
      <c r="F48" s="34" t="s">
        <v>112</v>
      </c>
      <c r="G48" s="34">
        <v>2146475300</v>
      </c>
      <c r="H48" s="34" t="s">
        <v>85</v>
      </c>
      <c r="I48" s="12" t="s">
        <v>20</v>
      </c>
      <c r="J48" s="33" t="s">
        <v>47</v>
      </c>
      <c r="K48" s="41"/>
      <c r="L48" s="12" t="s">
        <v>34</v>
      </c>
      <c r="M48" s="12" t="s">
        <v>34</v>
      </c>
      <c r="N48" s="13">
        <v>267395.07</v>
      </c>
      <c r="O48" s="63">
        <v>0</v>
      </c>
      <c r="P48" s="63">
        <v>9277.89</v>
      </c>
      <c r="Q48" s="63">
        <v>21991.947255793544</v>
      </c>
      <c r="R48" s="63">
        <f t="shared" si="6"/>
        <v>282357.69593198999</v>
      </c>
      <c r="S48" s="14">
        <v>0.81</v>
      </c>
      <c r="T48" s="46">
        <f>ROUND(S48*'NEW 1. Summary'!$B$17,2)</f>
        <v>1.39</v>
      </c>
      <c r="U48" s="46">
        <f>ROUND(S48*'Internal BN Allotment &amp; IGT'!$F$3,2)</f>
        <v>0.68</v>
      </c>
      <c r="V48" s="46">
        <f>ROUND(U48*'Internal BN Allotment &amp; IGT'!$H$3,2)</f>
        <v>0.63</v>
      </c>
      <c r="W48" s="5">
        <f t="shared" si="7"/>
        <v>268239.81113539048</v>
      </c>
      <c r="X48" s="15">
        <f t="shared" si="8"/>
        <v>17813.477277192771</v>
      </c>
      <c r="Y48" s="5">
        <f t="shared" si="9"/>
        <v>39805.424532986319</v>
      </c>
      <c r="Z48" s="16">
        <f t="shared" si="10"/>
        <v>-250426.3338581977</v>
      </c>
      <c r="AA48" s="58" t="str">
        <f t="shared" si="11"/>
        <v>No</v>
      </c>
    </row>
    <row r="49" spans="1:27">
      <c r="A49" s="9" t="s">
        <v>250</v>
      </c>
      <c r="B49" s="10"/>
      <c r="C49" s="10" t="s">
        <v>251</v>
      </c>
      <c r="D49" s="9" t="s">
        <v>252</v>
      </c>
      <c r="E49" s="11" t="s">
        <v>19</v>
      </c>
      <c r="F49" s="34" t="s">
        <v>112</v>
      </c>
      <c r="G49" s="11">
        <v>9724032700</v>
      </c>
      <c r="H49" s="34" t="s">
        <v>85</v>
      </c>
      <c r="I49" s="12" t="s">
        <v>20</v>
      </c>
      <c r="J49" s="33" t="s">
        <v>47</v>
      </c>
      <c r="K49" s="41"/>
      <c r="L49" s="12" t="s">
        <v>99</v>
      </c>
      <c r="M49" s="12" t="s">
        <v>34</v>
      </c>
      <c r="N49" s="13">
        <v>315716.74</v>
      </c>
      <c r="O49" s="63">
        <v>0</v>
      </c>
      <c r="P49" s="63">
        <v>79423.41</v>
      </c>
      <c r="Q49" s="63">
        <v>79276.448016581053</v>
      </c>
      <c r="R49" s="63">
        <f t="shared" si="6"/>
        <v>333383.30162018002</v>
      </c>
      <c r="S49" s="14">
        <v>0.81</v>
      </c>
      <c r="T49" s="46">
        <f>ROUND(S49*'NEW 1. Summary'!$B$17,2)</f>
        <v>1.39</v>
      </c>
      <c r="U49" s="46">
        <f>ROUND(S49*'Internal BN Allotment &amp; IGT'!$F$3,2)</f>
        <v>0.68</v>
      </c>
      <c r="V49" s="46">
        <f>ROUND(U49*'Internal BN Allotment &amp; IGT'!$H$3,2)</f>
        <v>0.63</v>
      </c>
      <c r="W49" s="5">
        <f t="shared" si="7"/>
        <v>316714.13653917098</v>
      </c>
      <c r="X49" s="15">
        <f t="shared" si="8"/>
        <v>64213.922893430659</v>
      </c>
      <c r="Y49" s="5">
        <f t="shared" si="9"/>
        <v>143490.3709100117</v>
      </c>
      <c r="Z49" s="16">
        <f t="shared" si="10"/>
        <v>-252500.21364574032</v>
      </c>
      <c r="AA49" s="58" t="str">
        <f t="shared" si="11"/>
        <v>No</v>
      </c>
    </row>
    <row r="50" spans="1:27">
      <c r="A50" s="9" t="s">
        <v>256</v>
      </c>
      <c r="B50" s="10"/>
      <c r="C50" s="10" t="s">
        <v>257</v>
      </c>
      <c r="D50" s="9" t="s">
        <v>258</v>
      </c>
      <c r="E50" s="11" t="s">
        <v>259</v>
      </c>
      <c r="F50" s="34" t="s">
        <v>260</v>
      </c>
      <c r="G50" s="11"/>
      <c r="H50" s="34" t="s">
        <v>47</v>
      </c>
      <c r="I50" s="12" t="s">
        <v>20</v>
      </c>
      <c r="J50" s="33" t="s">
        <v>47</v>
      </c>
      <c r="K50" s="41"/>
      <c r="L50" s="12" t="s">
        <v>34</v>
      </c>
      <c r="M50" s="12" t="s">
        <v>34</v>
      </c>
      <c r="N50" s="13">
        <v>8817038.25</v>
      </c>
      <c r="O50" s="63">
        <v>3062565.13</v>
      </c>
      <c r="P50" s="63">
        <v>621537.66999999993</v>
      </c>
      <c r="Q50" s="63">
        <v>1293708.6705163247</v>
      </c>
      <c r="R50" s="63">
        <f t="shared" si="4"/>
        <v>9310413.2593552507</v>
      </c>
      <c r="S50" s="14">
        <v>0.81</v>
      </c>
      <c r="T50" s="46">
        <f>ROUND(S50*'NEW 1. Summary'!$B$17,2)</f>
        <v>1.39</v>
      </c>
      <c r="U50" s="46">
        <f>ROUND(S50*'Internal BN Allotment &amp; IGT'!$F$3,2)</f>
        <v>0.68</v>
      </c>
      <c r="V50" s="46">
        <f>ROUND(U50*'Internal BN Allotment &amp; IGT'!$H$3,2)</f>
        <v>0.63</v>
      </c>
      <c r="W50" s="5">
        <f t="shared" ref="W50:W65" si="12">R50*0.95</f>
        <v>8844892.5963874869</v>
      </c>
      <c r="X50" s="15">
        <f t="shared" ref="X50:X65" si="13">S50*Q50</f>
        <v>1047904.0231182231</v>
      </c>
      <c r="Y50" s="5">
        <f t="shared" ref="Y50:Y65" si="14">X50+Q50</f>
        <v>2341612.6936345478</v>
      </c>
      <c r="Z50" s="16">
        <f t="shared" ref="Z50:Z65" si="15">X50-(K50)-W50</f>
        <v>-7796988.5732692638</v>
      </c>
      <c r="AA50" s="58" t="str">
        <f t="shared" ref="AA50:AA65" si="16">(IF(Z50&gt;0,"Yes","No"))</f>
        <v>No</v>
      </c>
    </row>
    <row r="51" spans="1:27">
      <c r="A51" s="9" t="s">
        <v>261</v>
      </c>
      <c r="B51" s="10"/>
      <c r="C51" s="10" t="s">
        <v>262</v>
      </c>
      <c r="D51" s="9" t="s">
        <v>263</v>
      </c>
      <c r="E51" s="11" t="s">
        <v>264</v>
      </c>
      <c r="F51" s="34" t="s">
        <v>265</v>
      </c>
      <c r="G51" s="11" t="s">
        <v>266</v>
      </c>
      <c r="H51" s="34" t="s">
        <v>47</v>
      </c>
      <c r="I51" s="12" t="s">
        <v>20</v>
      </c>
      <c r="J51" s="33" t="s">
        <v>47</v>
      </c>
      <c r="K51" s="41"/>
      <c r="L51" s="12" t="s">
        <v>34</v>
      </c>
      <c r="M51" s="12" t="s">
        <v>34</v>
      </c>
      <c r="N51" s="13">
        <v>6417665.5800000001</v>
      </c>
      <c r="O51" s="63">
        <v>3544792.39</v>
      </c>
      <c r="P51" s="63">
        <v>2816729.6700000004</v>
      </c>
      <c r="Q51" s="63">
        <v>4426310.2328090873</v>
      </c>
      <c r="R51" s="63">
        <f t="shared" si="4"/>
        <v>6776778.8928600606</v>
      </c>
      <c r="S51" s="14">
        <v>0.81</v>
      </c>
      <c r="T51" s="46">
        <f>ROUND(S51*'NEW 1. Summary'!$B$17,2)</f>
        <v>1.39</v>
      </c>
      <c r="U51" s="46">
        <f>ROUND(S51*'Internal BN Allotment &amp; IGT'!$F$3,2)</f>
        <v>0.68</v>
      </c>
      <c r="V51" s="46">
        <f>ROUND(U51*'Internal BN Allotment &amp; IGT'!$H$3,2)</f>
        <v>0.63</v>
      </c>
      <c r="W51" s="5">
        <f t="shared" si="12"/>
        <v>6437939.9482170576</v>
      </c>
      <c r="X51" s="15">
        <f t="shared" si="13"/>
        <v>3585311.288575361</v>
      </c>
      <c r="Y51" s="5">
        <f t="shared" si="14"/>
        <v>8011621.5213844478</v>
      </c>
      <c r="Z51" s="16">
        <f t="shared" si="15"/>
        <v>-2852628.6596416966</v>
      </c>
      <c r="AA51" s="58" t="str">
        <f t="shared" si="16"/>
        <v>No</v>
      </c>
    </row>
    <row r="52" spans="1:27">
      <c r="A52" s="9" t="s">
        <v>267</v>
      </c>
      <c r="B52" s="10"/>
      <c r="C52" s="10" t="s">
        <v>268</v>
      </c>
      <c r="D52" s="9" t="s">
        <v>363</v>
      </c>
      <c r="E52" s="11" t="s">
        <v>340</v>
      </c>
      <c r="F52" s="34" t="s">
        <v>23</v>
      </c>
      <c r="G52" s="11">
        <v>2059686304</v>
      </c>
      <c r="H52" s="34" t="s">
        <v>85</v>
      </c>
      <c r="I52" s="12" t="s">
        <v>20</v>
      </c>
      <c r="J52" s="33" t="s">
        <v>47</v>
      </c>
      <c r="K52" s="41"/>
      <c r="L52" s="12" t="s">
        <v>99</v>
      </c>
      <c r="M52" s="12" t="s">
        <v>34</v>
      </c>
      <c r="N52" s="13">
        <v>484766.25</v>
      </c>
      <c r="O52" s="63">
        <v>99450</v>
      </c>
      <c r="P52" s="63">
        <v>1130.2</v>
      </c>
      <c r="Q52" s="63">
        <v>158940.12370438688</v>
      </c>
      <c r="R52" s="63">
        <f t="shared" si="4"/>
        <v>511892.31505125004</v>
      </c>
      <c r="S52" s="14">
        <v>0.81</v>
      </c>
      <c r="T52" s="46">
        <f>ROUND(S52*'NEW 1. Summary'!$B$17,2)</f>
        <v>1.39</v>
      </c>
      <c r="U52" s="46">
        <f>ROUND(S52*'Internal BN Allotment &amp; IGT'!$F$3,2)</f>
        <v>0.68</v>
      </c>
      <c r="V52" s="46">
        <f>ROUND(U52*'Internal BN Allotment &amp; IGT'!$H$3,2)</f>
        <v>0.63</v>
      </c>
      <c r="W52" s="5">
        <f t="shared" si="12"/>
        <v>486297.69929868751</v>
      </c>
      <c r="X52" s="15">
        <f t="shared" si="13"/>
        <v>128741.50020055338</v>
      </c>
      <c r="Y52" s="5">
        <f t="shared" si="14"/>
        <v>287681.62390494026</v>
      </c>
      <c r="Z52" s="16">
        <f t="shared" si="15"/>
        <v>-357556.19909813412</v>
      </c>
      <c r="AA52" s="58" t="str">
        <f t="shared" si="16"/>
        <v>No</v>
      </c>
    </row>
    <row r="53" spans="1:27">
      <c r="A53" s="9" t="s">
        <v>269</v>
      </c>
      <c r="B53" s="10"/>
      <c r="C53" s="10" t="s">
        <v>270</v>
      </c>
      <c r="D53" s="9" t="s">
        <v>271</v>
      </c>
      <c r="E53" s="11" t="s">
        <v>119</v>
      </c>
      <c r="F53" s="34" t="s">
        <v>120</v>
      </c>
      <c r="G53" s="11">
        <v>2542159063</v>
      </c>
      <c r="H53" s="34" t="s">
        <v>85</v>
      </c>
      <c r="I53" s="12" t="s">
        <v>20</v>
      </c>
      <c r="J53" s="33" t="s">
        <v>47</v>
      </c>
      <c r="K53" s="41"/>
      <c r="L53" s="12" t="s">
        <v>34</v>
      </c>
      <c r="M53" s="12" t="s">
        <v>34</v>
      </c>
      <c r="N53" s="13">
        <v>953270.75</v>
      </c>
      <c r="O53" s="63">
        <v>117410</v>
      </c>
      <c r="P53" s="63">
        <v>0</v>
      </c>
      <c r="Q53" s="63">
        <v>20500.816376258907</v>
      </c>
      <c r="R53" s="63">
        <f t="shared" si="4"/>
        <v>1006612.9213577501</v>
      </c>
      <c r="S53" s="14">
        <v>0.81</v>
      </c>
      <c r="T53" s="46">
        <f>ROUND(S53*'NEW 1. Summary'!$B$17,2)</f>
        <v>1.39</v>
      </c>
      <c r="U53" s="46">
        <f>ROUND(S53*'Internal BN Allotment &amp; IGT'!$F$3,2)</f>
        <v>0.68</v>
      </c>
      <c r="V53" s="46">
        <f>ROUND(U53*'Internal BN Allotment &amp; IGT'!$H$3,2)</f>
        <v>0.63</v>
      </c>
      <c r="W53" s="5">
        <f t="shared" si="12"/>
        <v>956282.27528986253</v>
      </c>
      <c r="X53" s="15">
        <f t="shared" si="13"/>
        <v>16605.661264769715</v>
      </c>
      <c r="Y53" s="5">
        <f t="shared" si="14"/>
        <v>37106.477641028621</v>
      </c>
      <c r="Z53" s="16">
        <f t="shared" si="15"/>
        <v>-939676.6140250928</v>
      </c>
      <c r="AA53" s="58" t="str">
        <f t="shared" si="16"/>
        <v>No</v>
      </c>
    </row>
    <row r="54" spans="1:27">
      <c r="A54" s="9" t="s">
        <v>272</v>
      </c>
      <c r="B54" s="10"/>
      <c r="C54" s="10" t="s">
        <v>273</v>
      </c>
      <c r="D54" s="9" t="s">
        <v>274</v>
      </c>
      <c r="E54" s="11" t="s">
        <v>168</v>
      </c>
      <c r="F54" s="34" t="s">
        <v>169</v>
      </c>
      <c r="G54" s="11"/>
      <c r="H54" s="34" t="s">
        <v>85</v>
      </c>
      <c r="I54" s="12" t="s">
        <v>20</v>
      </c>
      <c r="J54" s="33" t="s">
        <v>47</v>
      </c>
      <c r="K54" s="41"/>
      <c r="L54" s="12" t="s">
        <v>34</v>
      </c>
      <c r="M54" s="12" t="s">
        <v>34</v>
      </c>
      <c r="N54" s="13">
        <v>864978.69</v>
      </c>
      <c r="O54" s="63">
        <v>0</v>
      </c>
      <c r="P54" s="63">
        <v>0</v>
      </c>
      <c r="Q54" s="63">
        <v>0</v>
      </c>
      <c r="R54" s="63">
        <f t="shared" si="4"/>
        <v>913380.30255632999</v>
      </c>
      <c r="S54" s="14">
        <v>0.81</v>
      </c>
      <c r="T54" s="46">
        <f>ROUND(S54*'NEW 1. Summary'!$B$17,2)</f>
        <v>1.39</v>
      </c>
      <c r="U54" s="46">
        <f>ROUND(S54*'Internal BN Allotment &amp; IGT'!$F$3,2)</f>
        <v>0.68</v>
      </c>
      <c r="V54" s="46">
        <f>ROUND(U54*'Internal BN Allotment &amp; IGT'!$H$3,2)</f>
        <v>0.63</v>
      </c>
      <c r="W54" s="5">
        <f t="shared" si="12"/>
        <v>867711.2874285134</v>
      </c>
      <c r="X54" s="15">
        <f t="shared" si="13"/>
        <v>0</v>
      </c>
      <c r="Y54" s="5">
        <f t="shared" si="14"/>
        <v>0</v>
      </c>
      <c r="Z54" s="16">
        <f t="shared" si="15"/>
        <v>-867711.2874285134</v>
      </c>
      <c r="AA54" s="58" t="str">
        <f t="shared" si="16"/>
        <v>No</v>
      </c>
    </row>
    <row r="55" spans="1:27">
      <c r="A55" s="9" t="s">
        <v>275</v>
      </c>
      <c r="B55" s="10"/>
      <c r="C55" s="10" t="s">
        <v>276</v>
      </c>
      <c r="D55" s="9" t="s">
        <v>277</v>
      </c>
      <c r="E55" s="11" t="s">
        <v>119</v>
      </c>
      <c r="F55" s="34" t="s">
        <v>120</v>
      </c>
      <c r="G55" s="11">
        <v>2542159063</v>
      </c>
      <c r="H55" s="34" t="s">
        <v>85</v>
      </c>
      <c r="I55" s="12" t="s">
        <v>20</v>
      </c>
      <c r="J55" s="33" t="s">
        <v>47</v>
      </c>
      <c r="K55" s="41"/>
      <c r="L55" s="12" t="s">
        <v>99</v>
      </c>
      <c r="M55" s="12" t="s">
        <v>34</v>
      </c>
      <c r="N55" s="13">
        <v>364399</v>
      </c>
      <c r="O55" s="63">
        <v>0</v>
      </c>
      <c r="P55" s="63">
        <v>0</v>
      </c>
      <c r="Q55" s="63">
        <v>0</v>
      </c>
      <c r="R55" s="63">
        <f t="shared" si="4"/>
        <v>384789.67484300002</v>
      </c>
      <c r="S55" s="14">
        <v>0.81</v>
      </c>
      <c r="T55" s="46">
        <f>ROUND(S55*'NEW 1. Summary'!$B$17,2)</f>
        <v>1.39</v>
      </c>
      <c r="U55" s="46">
        <f>ROUND(S55*'Internal BN Allotment &amp; IGT'!$F$3,2)</f>
        <v>0.68</v>
      </c>
      <c r="V55" s="46">
        <f>ROUND(U55*'Internal BN Allotment &amp; IGT'!$H$3,2)</f>
        <v>0.63</v>
      </c>
      <c r="W55" s="5">
        <f t="shared" si="12"/>
        <v>365550.19110085</v>
      </c>
      <c r="X55" s="15">
        <f t="shared" si="13"/>
        <v>0</v>
      </c>
      <c r="Y55" s="5">
        <f t="shared" si="14"/>
        <v>0</v>
      </c>
      <c r="Z55" s="16">
        <f t="shared" si="15"/>
        <v>-365550.19110085</v>
      </c>
      <c r="AA55" s="58" t="str">
        <f t="shared" si="16"/>
        <v>No</v>
      </c>
    </row>
    <row r="56" spans="1:27">
      <c r="A56" s="9" t="s">
        <v>278</v>
      </c>
      <c r="B56" s="10"/>
      <c r="C56" s="10" t="s">
        <v>279</v>
      </c>
      <c r="D56" s="9" t="s">
        <v>361</v>
      </c>
      <c r="E56" s="11" t="s">
        <v>340</v>
      </c>
      <c r="F56" s="34" t="s">
        <v>23</v>
      </c>
      <c r="G56" s="11">
        <v>2059686304</v>
      </c>
      <c r="H56" s="34" t="s">
        <v>85</v>
      </c>
      <c r="I56" s="12" t="s">
        <v>20</v>
      </c>
      <c r="J56" s="33" t="s">
        <v>47</v>
      </c>
      <c r="K56" s="41"/>
      <c r="L56" s="12" t="s">
        <v>34</v>
      </c>
      <c r="M56" s="12" t="s">
        <v>34</v>
      </c>
      <c r="N56" s="13">
        <v>211913</v>
      </c>
      <c r="O56" s="63">
        <v>68200</v>
      </c>
      <c r="P56" s="63">
        <v>0</v>
      </c>
      <c r="Q56" s="63">
        <v>89461.326829879545</v>
      </c>
      <c r="R56" s="63">
        <f t="shared" si="4"/>
        <v>223771.01574100001</v>
      </c>
      <c r="S56" s="14">
        <v>0.81</v>
      </c>
      <c r="T56" s="46">
        <f>ROUND(S56*'NEW 1. Summary'!$B$17,2)</f>
        <v>1.39</v>
      </c>
      <c r="U56" s="46">
        <f>ROUND(S56*'Internal BN Allotment &amp; IGT'!$F$3,2)</f>
        <v>0.68</v>
      </c>
      <c r="V56" s="46">
        <f>ROUND(U56*'Internal BN Allotment &amp; IGT'!$H$3,2)</f>
        <v>0.63</v>
      </c>
      <c r="W56" s="5">
        <f t="shared" si="12"/>
        <v>212582.46495395</v>
      </c>
      <c r="X56" s="15">
        <f t="shared" si="13"/>
        <v>72463.674732202431</v>
      </c>
      <c r="Y56" s="5">
        <f t="shared" si="14"/>
        <v>161925.00156208198</v>
      </c>
      <c r="Z56" s="16">
        <f t="shared" si="15"/>
        <v>-140118.79022174756</v>
      </c>
      <c r="AA56" s="58" t="str">
        <f t="shared" si="16"/>
        <v>No</v>
      </c>
    </row>
    <row r="57" spans="1:27">
      <c r="A57" s="9" t="s">
        <v>280</v>
      </c>
      <c r="B57" s="10"/>
      <c r="C57" s="10" t="s">
        <v>281</v>
      </c>
      <c r="D57" s="9" t="s">
        <v>282</v>
      </c>
      <c r="E57" s="11" t="s">
        <v>338</v>
      </c>
      <c r="F57" t="s">
        <v>339</v>
      </c>
      <c r="G57" s="11">
        <v>7133770605</v>
      </c>
      <c r="H57" s="34" t="s">
        <v>85</v>
      </c>
      <c r="I57" s="12" t="s">
        <v>20</v>
      </c>
      <c r="J57" s="33" t="s">
        <v>47</v>
      </c>
      <c r="K57" s="41"/>
      <c r="L57" s="12" t="s">
        <v>99</v>
      </c>
      <c r="M57" s="12" t="s">
        <v>34</v>
      </c>
      <c r="N57" s="13">
        <v>82547</v>
      </c>
      <c r="O57" s="63">
        <v>0</v>
      </c>
      <c r="P57" s="63">
        <v>0</v>
      </c>
      <c r="Q57" s="63">
        <v>0</v>
      </c>
      <c r="R57" s="63">
        <f t="shared" si="4"/>
        <v>87166.082479000004</v>
      </c>
      <c r="S57" s="14">
        <v>0.81</v>
      </c>
      <c r="T57" s="46">
        <f>ROUND(S57*'NEW 1. Summary'!$B$17,2)</f>
        <v>1.39</v>
      </c>
      <c r="U57" s="46">
        <f>ROUND(S57*'Internal BN Allotment &amp; IGT'!$F$3,2)</f>
        <v>0.68</v>
      </c>
      <c r="V57" s="46">
        <f>ROUND(U57*'Internal BN Allotment &amp; IGT'!$H$3,2)</f>
        <v>0.63</v>
      </c>
      <c r="W57" s="5">
        <f t="shared" si="12"/>
        <v>82807.778355050003</v>
      </c>
      <c r="X57" s="15">
        <f t="shared" si="13"/>
        <v>0</v>
      </c>
      <c r="Y57" s="5">
        <f t="shared" si="14"/>
        <v>0</v>
      </c>
      <c r="Z57" s="16">
        <f t="shared" si="15"/>
        <v>-82807.778355050003</v>
      </c>
      <c r="AA57" s="58" t="str">
        <f t="shared" si="16"/>
        <v>No</v>
      </c>
    </row>
    <row r="58" spans="1:27">
      <c r="A58" s="9" t="s">
        <v>302</v>
      </c>
      <c r="B58" s="10"/>
      <c r="C58" s="10" t="s">
        <v>303</v>
      </c>
      <c r="D58" s="9" t="s">
        <v>362</v>
      </c>
      <c r="E58" s="11" t="s">
        <v>340</v>
      </c>
      <c r="F58" s="34" t="s">
        <v>23</v>
      </c>
      <c r="G58" s="11">
        <v>2059686304</v>
      </c>
      <c r="H58" s="34" t="s">
        <v>85</v>
      </c>
      <c r="I58" s="12" t="s">
        <v>20</v>
      </c>
      <c r="J58" s="33" t="s">
        <v>47</v>
      </c>
      <c r="K58" s="41"/>
      <c r="L58" s="12" t="s">
        <v>34</v>
      </c>
      <c r="M58" s="12" t="s">
        <v>34</v>
      </c>
      <c r="N58" s="13">
        <v>846949.66</v>
      </c>
      <c r="O58" s="63">
        <v>8500</v>
      </c>
      <c r="P58" s="63">
        <v>0</v>
      </c>
      <c r="Q58" s="63">
        <v>12190.280545135394</v>
      </c>
      <c r="R58" s="63">
        <f>N58*(1+(0.055957/2))</f>
        <v>870646.04106230999</v>
      </c>
      <c r="S58" s="14">
        <v>0.81</v>
      </c>
      <c r="T58" s="46">
        <f>ROUND(S58*'NEW 1. Summary'!$B$17,2)</f>
        <v>1.39</v>
      </c>
      <c r="U58" s="46">
        <f>ROUND(S58*'Internal BN Allotment &amp; IGT'!$F$3,2)</f>
        <v>0.68</v>
      </c>
      <c r="V58" s="46">
        <f>ROUND(U58*'Internal BN Allotment &amp; IGT'!$H$3,2)</f>
        <v>0.63</v>
      </c>
      <c r="W58" s="5">
        <f>R58*0.95</f>
        <v>827113.73900919443</v>
      </c>
      <c r="X58" s="15">
        <f>S58*Q58</f>
        <v>9874.1272415596704</v>
      </c>
      <c r="Y58" s="5">
        <f>X58+Q58</f>
        <v>22064.407786695065</v>
      </c>
      <c r="Z58" s="16">
        <f>X58-(K58)-W58</f>
        <v>-817239.61176763475</v>
      </c>
      <c r="AA58" s="58" t="str">
        <f>(IF(Z58&gt;0,"Yes","No"))</f>
        <v>No</v>
      </c>
    </row>
    <row r="59" spans="1:27" s="116" customFormat="1">
      <c r="A59" s="128" t="s">
        <v>350</v>
      </c>
      <c r="B59" s="104"/>
      <c r="C59" s="122" t="s">
        <v>398</v>
      </c>
      <c r="D59" s="105" t="s">
        <v>349</v>
      </c>
      <c r="E59" s="106" t="s">
        <v>392</v>
      </c>
      <c r="F59" s="106" t="s">
        <v>393</v>
      </c>
      <c r="G59" s="106"/>
      <c r="H59" s="106" t="s">
        <v>85</v>
      </c>
      <c r="I59" s="107" t="s">
        <v>20</v>
      </c>
      <c r="J59" s="107" t="s">
        <v>47</v>
      </c>
      <c r="K59" s="108"/>
      <c r="L59" s="107" t="s">
        <v>99</v>
      </c>
      <c r="M59" s="107" t="s">
        <v>34</v>
      </c>
      <c r="N59" s="109">
        <v>0</v>
      </c>
      <c r="O59" s="109">
        <v>0</v>
      </c>
      <c r="P59" s="109">
        <v>0</v>
      </c>
      <c r="Q59" s="63">
        <v>0</v>
      </c>
      <c r="R59" s="109">
        <f t="shared" ref="R59:R61" si="17">N59*1.055957</f>
        <v>0</v>
      </c>
      <c r="S59" s="110">
        <v>0.81</v>
      </c>
      <c r="T59" s="111">
        <f>ROUND(S59*'NEW 1. Summary'!$B$17,2)</f>
        <v>1.39</v>
      </c>
      <c r="U59" s="111">
        <f>ROUND(S59*'Internal BN Allotment &amp; IGT'!$F$3,2)</f>
        <v>0.68</v>
      </c>
      <c r="V59" s="111">
        <f>ROUND(U59*'Internal BN Allotment &amp; IGT'!$H$3,2)</f>
        <v>0.63</v>
      </c>
      <c r="W59" s="112">
        <f t="shared" ref="W59:W61" si="18">R59*0.95</f>
        <v>0</v>
      </c>
      <c r="X59" s="113">
        <f t="shared" ref="X59:X61" si="19">S59*Q59</f>
        <v>0</v>
      </c>
      <c r="Y59" s="112">
        <f t="shared" ref="Y59:Y61" si="20">X59+Q59</f>
        <v>0</v>
      </c>
      <c r="Z59" s="114">
        <f t="shared" ref="Z59:Z61" si="21">X59-(K59)-W59</f>
        <v>0</v>
      </c>
      <c r="AA59" s="115" t="str">
        <f t="shared" ref="AA59:AA61" si="22">(IF(Z59&gt;0,"Yes","No"))</f>
        <v>No</v>
      </c>
    </row>
    <row r="60" spans="1:27" s="116" customFormat="1">
      <c r="A60" s="103" t="s">
        <v>357</v>
      </c>
      <c r="B60" s="104"/>
      <c r="C60" s="122" t="s">
        <v>399</v>
      </c>
      <c r="D60" s="105" t="s">
        <v>358</v>
      </c>
      <c r="E60" s="106" t="s">
        <v>359</v>
      </c>
      <c r="F60" s="106" t="s">
        <v>360</v>
      </c>
      <c r="G60" s="106">
        <v>2143246133</v>
      </c>
      <c r="H60" s="106" t="s">
        <v>47</v>
      </c>
      <c r="I60" s="107" t="s">
        <v>20</v>
      </c>
      <c r="J60" s="107" t="s">
        <v>47</v>
      </c>
      <c r="K60" s="108"/>
      <c r="L60" s="107" t="s">
        <v>34</v>
      </c>
      <c r="M60" s="107" t="s">
        <v>34</v>
      </c>
      <c r="N60" s="109">
        <v>19225019.879999999</v>
      </c>
      <c r="O60" s="109">
        <v>3033756.45</v>
      </c>
      <c r="P60" s="109">
        <v>1471342.8699999999</v>
      </c>
      <c r="Q60" s="63">
        <v>1026826.5602733156</v>
      </c>
      <c r="R60" s="109">
        <f t="shared" si="17"/>
        <v>20300794.317425158</v>
      </c>
      <c r="S60" s="110">
        <v>0.81</v>
      </c>
      <c r="T60" s="111">
        <f>ROUND(S60*'NEW 1. Summary'!$B$17,2)</f>
        <v>1.39</v>
      </c>
      <c r="U60" s="111">
        <f>ROUND(S60*'Internal BN Allotment &amp; IGT'!$F$3,2)</f>
        <v>0.68</v>
      </c>
      <c r="V60" s="111">
        <f>ROUND(U60*'Internal BN Allotment &amp; IGT'!$H$3,2)</f>
        <v>0.63</v>
      </c>
      <c r="W60" s="112">
        <f t="shared" si="18"/>
        <v>19285754.601553898</v>
      </c>
      <c r="X60" s="113">
        <f t="shared" si="19"/>
        <v>831729.51382138568</v>
      </c>
      <c r="Y60" s="112">
        <f t="shared" si="20"/>
        <v>1858556.0740947013</v>
      </c>
      <c r="Z60" s="114">
        <f t="shared" si="21"/>
        <v>-18454025.087732513</v>
      </c>
      <c r="AA60" s="115" t="str">
        <f t="shared" si="22"/>
        <v>No</v>
      </c>
    </row>
    <row r="61" spans="1:27" s="116" customFormat="1">
      <c r="A61" s="129" t="s">
        <v>396</v>
      </c>
      <c r="B61" s="104"/>
      <c r="C61" s="122" t="s">
        <v>173</v>
      </c>
      <c r="D61" s="105" t="s">
        <v>352</v>
      </c>
      <c r="E61" s="106" t="s">
        <v>21</v>
      </c>
      <c r="F61" s="106" t="s">
        <v>22</v>
      </c>
      <c r="G61" s="106">
        <v>2149477777</v>
      </c>
      <c r="H61" s="106" t="s">
        <v>85</v>
      </c>
      <c r="I61" s="107" t="s">
        <v>20</v>
      </c>
      <c r="J61" s="107" t="s">
        <v>47</v>
      </c>
      <c r="K61" s="108"/>
      <c r="L61" s="107" t="s">
        <v>34</v>
      </c>
      <c r="M61" s="107" t="s">
        <v>34</v>
      </c>
      <c r="N61" s="109">
        <v>0</v>
      </c>
      <c r="O61" s="109">
        <v>102164.11</v>
      </c>
      <c r="P61" s="109">
        <v>0</v>
      </c>
      <c r="Q61" s="63">
        <v>0</v>
      </c>
      <c r="R61" s="109">
        <f t="shared" si="17"/>
        <v>0</v>
      </c>
      <c r="S61" s="110">
        <v>0.81</v>
      </c>
      <c r="T61" s="111">
        <f>ROUND(S61*'NEW 1. Summary'!$B$17,2)</f>
        <v>1.39</v>
      </c>
      <c r="U61" s="111">
        <f>ROUND(S61*'Internal BN Allotment &amp; IGT'!$F$3,2)</f>
        <v>0.68</v>
      </c>
      <c r="V61" s="111">
        <f>ROUND(U61*'Internal BN Allotment &amp; IGT'!$H$3,2)</f>
        <v>0.63</v>
      </c>
      <c r="W61" s="112">
        <f t="shared" si="18"/>
        <v>0</v>
      </c>
      <c r="X61" s="113">
        <f t="shared" si="19"/>
        <v>0</v>
      </c>
      <c r="Y61" s="112">
        <f t="shared" si="20"/>
        <v>0</v>
      </c>
      <c r="Z61" s="114">
        <f t="shared" si="21"/>
        <v>0</v>
      </c>
      <c r="AA61" s="115" t="str">
        <f t="shared" si="22"/>
        <v>No</v>
      </c>
    </row>
    <row r="62" spans="1:27">
      <c r="A62" s="9" t="s">
        <v>283</v>
      </c>
      <c r="B62" s="10"/>
      <c r="C62" s="10" t="s">
        <v>284</v>
      </c>
      <c r="D62" s="9" t="s">
        <v>285</v>
      </c>
      <c r="E62" s="11" t="s">
        <v>286</v>
      </c>
      <c r="F62" s="34" t="s">
        <v>287</v>
      </c>
      <c r="G62" s="11">
        <v>9036546800</v>
      </c>
      <c r="H62" s="34" t="s">
        <v>47</v>
      </c>
      <c r="I62" s="12" t="s">
        <v>24</v>
      </c>
      <c r="J62" s="33" t="s">
        <v>47</v>
      </c>
      <c r="K62" s="41"/>
      <c r="L62" s="12" t="s">
        <v>288</v>
      </c>
      <c r="M62" s="12" t="s">
        <v>34</v>
      </c>
      <c r="N62" s="13">
        <v>5900973.8300000001</v>
      </c>
      <c r="O62" s="63">
        <v>1948498.22</v>
      </c>
      <c r="P62" s="63">
        <v>1825615.7000000002</v>
      </c>
      <c r="Q62" s="63">
        <v>3779266.4384189327</v>
      </c>
      <c r="R62" s="63">
        <f t="shared" si="4"/>
        <v>6231174.6226053098</v>
      </c>
      <c r="S62" s="14">
        <v>0.81</v>
      </c>
      <c r="T62" s="46">
        <f>ROUND(S62*'NEW 1. Summary'!$B$17,2)</f>
        <v>1.39</v>
      </c>
      <c r="U62" s="46">
        <f>ROUND(S62*'Internal BN Allotment &amp; IGT'!$F$3,2)</f>
        <v>0.68</v>
      </c>
      <c r="V62" s="46">
        <f>ROUND(U62*'Internal BN Allotment &amp; IGT'!$H$3,2)</f>
        <v>0.63</v>
      </c>
      <c r="W62" s="5">
        <f t="shared" si="12"/>
        <v>5919615.8914750442</v>
      </c>
      <c r="X62" s="15">
        <f t="shared" si="13"/>
        <v>3061205.8151193359</v>
      </c>
      <c r="Y62" s="5">
        <f t="shared" si="14"/>
        <v>6840472.2535382686</v>
      </c>
      <c r="Z62" s="16">
        <f t="shared" si="15"/>
        <v>-2858410.0763557083</v>
      </c>
      <c r="AA62" s="58" t="str">
        <f t="shared" si="16"/>
        <v>No</v>
      </c>
    </row>
    <row r="63" spans="1:27">
      <c r="A63" s="9" t="s">
        <v>289</v>
      </c>
      <c r="B63" s="10"/>
      <c r="C63" s="10" t="s">
        <v>290</v>
      </c>
      <c r="D63" s="9" t="s">
        <v>291</v>
      </c>
      <c r="E63" s="11" t="s">
        <v>292</v>
      </c>
      <c r="F63" s="34" t="s">
        <v>293</v>
      </c>
      <c r="G63" s="11">
        <v>2146489047</v>
      </c>
      <c r="H63" s="34" t="s">
        <v>47</v>
      </c>
      <c r="I63" s="12" t="s">
        <v>69</v>
      </c>
      <c r="J63" s="33" t="s">
        <v>47</v>
      </c>
      <c r="K63" s="87">
        <v>6018892.8838887177</v>
      </c>
      <c r="L63" s="12" t="s">
        <v>34</v>
      </c>
      <c r="M63" s="12" t="s">
        <v>34</v>
      </c>
      <c r="N63" s="13">
        <v>64460248.259999998</v>
      </c>
      <c r="O63" s="63">
        <v>10406434.130000003</v>
      </c>
      <c r="P63" s="63">
        <v>2259608.4700000002</v>
      </c>
      <c r="Q63" s="63">
        <v>3255639.4035870442</v>
      </c>
      <c r="R63" s="63">
        <f t="shared" si="4"/>
        <v>68067250.371884823</v>
      </c>
      <c r="S63" s="14">
        <v>0.81</v>
      </c>
      <c r="T63" s="46">
        <f>ROUND(S63*'NEW 1. Summary'!$B$17,2)</f>
        <v>1.39</v>
      </c>
      <c r="U63" s="46">
        <f>ROUND(S63*'Internal BN Allotment &amp; IGT'!$F$3,2)</f>
        <v>0.68</v>
      </c>
      <c r="V63" s="46">
        <f>ROUND(U63*'Internal BN Allotment &amp; IGT'!$H$3,2)</f>
        <v>0.63</v>
      </c>
      <c r="W63" s="5">
        <f t="shared" si="12"/>
        <v>64663887.85329058</v>
      </c>
      <c r="X63" s="15">
        <f t="shared" si="13"/>
        <v>2637067.916905506</v>
      </c>
      <c r="Y63" s="5">
        <f t="shared" si="14"/>
        <v>5892707.3204925507</v>
      </c>
      <c r="Z63" s="16">
        <f t="shared" si="15"/>
        <v>-68045712.820273787</v>
      </c>
      <c r="AA63" s="58" t="str">
        <f t="shared" si="16"/>
        <v>No</v>
      </c>
    </row>
    <row r="64" spans="1:27">
      <c r="A64" s="9" t="s">
        <v>294</v>
      </c>
      <c r="B64" s="10"/>
      <c r="C64" s="10" t="s">
        <v>295</v>
      </c>
      <c r="D64" s="9" t="s">
        <v>296</v>
      </c>
      <c r="E64" s="11" t="s">
        <v>292</v>
      </c>
      <c r="F64" s="11" t="s">
        <v>293</v>
      </c>
      <c r="G64" s="11">
        <v>2146489047</v>
      </c>
      <c r="H64" s="34" t="s">
        <v>47</v>
      </c>
      <c r="I64" s="12" t="s">
        <v>69</v>
      </c>
      <c r="J64" s="33" t="s">
        <v>47</v>
      </c>
      <c r="K64" s="87">
        <v>380377.01702915126</v>
      </c>
      <c r="L64" s="12" t="s">
        <v>34</v>
      </c>
      <c r="M64" s="12" t="s">
        <v>34</v>
      </c>
      <c r="N64" s="13">
        <v>11230026.369999999</v>
      </c>
      <c r="O64" s="63">
        <v>478083.38</v>
      </c>
      <c r="P64" s="63">
        <v>322374.71000000002</v>
      </c>
      <c r="Q64" s="63">
        <v>16191.1930642344</v>
      </c>
      <c r="R64" s="63">
        <f t="shared" si="4"/>
        <v>11858424.955586089</v>
      </c>
      <c r="S64" s="14">
        <v>0.81</v>
      </c>
      <c r="T64" s="46">
        <f>ROUND(S64*'NEW 1. Summary'!$B$17,2)</f>
        <v>1.39</v>
      </c>
      <c r="U64" s="46">
        <f>ROUND(S64*'Internal BN Allotment &amp; IGT'!$F$3,2)</f>
        <v>0.68</v>
      </c>
      <c r="V64" s="46">
        <f>ROUND(U64*'Internal BN Allotment &amp; IGT'!$H$3,2)</f>
        <v>0.63</v>
      </c>
      <c r="W64" s="5">
        <f t="shared" si="12"/>
        <v>11265503.707806785</v>
      </c>
      <c r="X64" s="15">
        <f t="shared" si="13"/>
        <v>13114.866382029864</v>
      </c>
      <c r="Y64" s="5">
        <f t="shared" si="14"/>
        <v>29306.059446264262</v>
      </c>
      <c r="Z64" s="16">
        <f t="shared" si="15"/>
        <v>-11632765.858453905</v>
      </c>
      <c r="AA64" s="58" t="str">
        <f t="shared" si="16"/>
        <v>No</v>
      </c>
    </row>
    <row r="65" spans="1:27">
      <c r="A65" s="9" t="s">
        <v>297</v>
      </c>
      <c r="B65" s="10"/>
      <c r="C65" s="10" t="s">
        <v>298</v>
      </c>
      <c r="D65" s="9" t="s">
        <v>299</v>
      </c>
      <c r="E65" s="11" t="s">
        <v>300</v>
      </c>
      <c r="F65" s="11" t="s">
        <v>301</v>
      </c>
      <c r="G65" s="11">
        <v>2145908000</v>
      </c>
      <c r="H65" s="34" t="s">
        <v>47</v>
      </c>
      <c r="I65" s="12" t="s">
        <v>26</v>
      </c>
      <c r="J65" s="33" t="s">
        <v>47</v>
      </c>
      <c r="K65" s="87">
        <v>45042806.799999997</v>
      </c>
      <c r="L65" s="12" t="s">
        <v>34</v>
      </c>
      <c r="M65" s="12" t="s">
        <v>34</v>
      </c>
      <c r="N65" s="13">
        <v>224480033.38999999</v>
      </c>
      <c r="O65" s="63">
        <v>48374156.930000007</v>
      </c>
      <c r="P65" s="63">
        <v>46413060.719999999</v>
      </c>
      <c r="Q65" s="63">
        <v>98088378.686761796</v>
      </c>
      <c r="R65" s="63">
        <f t="shared" si="4"/>
        <v>237041262.61840421</v>
      </c>
      <c r="S65" s="14">
        <v>0.81</v>
      </c>
      <c r="T65" s="46">
        <f>ROUND(S65*'NEW 1. Summary'!$B$17,2)</f>
        <v>1.39</v>
      </c>
      <c r="U65" s="46">
        <f>ROUND(S65*'Internal BN Allotment &amp; IGT'!$F$3,2)</f>
        <v>0.68</v>
      </c>
      <c r="V65" s="46">
        <f>ROUND(U65*'Internal BN Allotment &amp; IGT'!$H$3,2)</f>
        <v>0.63</v>
      </c>
      <c r="W65" s="5">
        <f t="shared" si="12"/>
        <v>225189199.48748398</v>
      </c>
      <c r="X65" s="15">
        <f t="shared" si="13"/>
        <v>79451586.736277059</v>
      </c>
      <c r="Y65" s="5">
        <f t="shared" si="14"/>
        <v>177539965.42303884</v>
      </c>
      <c r="Z65" s="16">
        <f t="shared" si="15"/>
        <v>-190780419.55120692</v>
      </c>
      <c r="AA65" s="58" t="str">
        <f t="shared" si="16"/>
        <v>No</v>
      </c>
    </row>
    <row r="66" spans="1:27">
      <c r="N66" s="73">
        <f>SUM(N2:N65)</f>
        <v>995011276.25</v>
      </c>
      <c r="O66" s="73">
        <f t="shared" ref="O66:P66" si="23">SUM(O2:O65)</f>
        <v>365661667.21000004</v>
      </c>
      <c r="P66" s="73">
        <f t="shared" si="23"/>
        <v>308207666.10000002</v>
      </c>
      <c r="Q66" s="63" t="e">
        <v>#N/A</v>
      </c>
      <c r="R66" s="73">
        <f>'NEW 1. Summary'!B10</f>
        <v>1050621945.9307642</v>
      </c>
      <c r="S66" s="73"/>
      <c r="T66" s="73"/>
      <c r="U66" s="73"/>
      <c r="V66" s="73"/>
      <c r="W66" s="73">
        <f>'NEW 1. Summary'!E10</f>
        <v>998090848.63422596</v>
      </c>
      <c r="X66" s="73">
        <f>'NEW 1. Summary'!D10</f>
        <v>320016789.08613348</v>
      </c>
      <c r="Y66" s="73">
        <f>'NEW 1. Summary'!F10</f>
        <v>936767831.19057405</v>
      </c>
      <c r="Z66" s="73">
        <f>SUM(Z2:Z65)</f>
        <v>-733539204.70901036</v>
      </c>
    </row>
    <row r="67" spans="1:27" ht="15.75" thickBot="1">
      <c r="E67" s="80"/>
      <c r="F67" s="81"/>
      <c r="H67" s="82"/>
      <c r="I67" s="83"/>
      <c r="J67" s="84"/>
      <c r="K67" s="85"/>
      <c r="R67" s="75" t="s">
        <v>326</v>
      </c>
      <c r="S67" s="79">
        <f>'NEW 1. Summary'!B10</f>
        <v>1050621945.9307642</v>
      </c>
    </row>
    <row r="68" spans="1:27" ht="26.25">
      <c r="E68" s="80"/>
      <c r="F68" s="81"/>
      <c r="G68" s="82" t="s">
        <v>319</v>
      </c>
      <c r="H68" s="82" t="s">
        <v>320</v>
      </c>
      <c r="I68" s="83"/>
      <c r="J68" s="86">
        <f>K65</f>
        <v>45042806.799999997</v>
      </c>
      <c r="K68">
        <v>45042806.80353909</v>
      </c>
      <c r="N68" s="88" t="s">
        <v>330</v>
      </c>
      <c r="O68" s="89">
        <v>0.05</v>
      </c>
      <c r="R68" s="99" t="s">
        <v>348</v>
      </c>
      <c r="S68" s="77">
        <f>SUM(K68:K71)</f>
        <v>214500468.3941257</v>
      </c>
      <c r="W68" s="74" t="s">
        <v>53</v>
      </c>
      <c r="X68" s="64">
        <f>X66</f>
        <v>320016789.08613348</v>
      </c>
    </row>
    <row r="69" spans="1:27" ht="39">
      <c r="E69" s="80"/>
      <c r="F69" s="81"/>
      <c r="G69" s="82" t="s">
        <v>319</v>
      </c>
      <c r="H69" s="82" t="s">
        <v>327</v>
      </c>
      <c r="I69" s="83"/>
      <c r="J69" s="86">
        <f>K64+K63</f>
        <v>6399269.9009178691</v>
      </c>
      <c r="K69">
        <v>6399269.9009178691</v>
      </c>
      <c r="N69" s="90" t="s">
        <v>331</v>
      </c>
      <c r="O69" s="91">
        <v>2.5000000000000001E-2</v>
      </c>
      <c r="R69" s="76" t="s">
        <v>52</v>
      </c>
      <c r="S69" s="78">
        <f>S68*(0.8815/1.1)</f>
        <v>171892875.35401979</v>
      </c>
      <c r="W69" s="74" t="s">
        <v>321</v>
      </c>
      <c r="X69" s="65">
        <f>X68/2</f>
        <v>160008394.54306674</v>
      </c>
    </row>
    <row r="70" spans="1:27" ht="15">
      <c r="G70" s="82" t="s">
        <v>319</v>
      </c>
      <c r="H70" s="82" t="s">
        <v>328</v>
      </c>
      <c r="I70" s="83"/>
      <c r="J70" s="86">
        <f>K6</f>
        <v>4023068.46</v>
      </c>
      <c r="K70">
        <v>4023068.4649754642</v>
      </c>
      <c r="N70" s="90" t="s">
        <v>332</v>
      </c>
      <c r="O70" s="91">
        <v>1.7500000000000002E-2</v>
      </c>
      <c r="W70" s="74" t="s">
        <v>54</v>
      </c>
      <c r="X70" s="64">
        <f>S69/0.3911</f>
        <v>439511315.14707184</v>
      </c>
    </row>
    <row r="71" spans="1:27" ht="15">
      <c r="G71" s="82" t="s">
        <v>319</v>
      </c>
      <c r="H71" s="82" t="s">
        <v>329</v>
      </c>
      <c r="I71" s="2"/>
      <c r="J71" s="86">
        <f>X80-SUM(J68:J70)</f>
        <v>124144141.57493845</v>
      </c>
      <c r="K71">
        <v>159035323.2246933</v>
      </c>
      <c r="N71" s="90" t="s">
        <v>333</v>
      </c>
      <c r="O71" s="91">
        <v>2.5999999999999999E-2</v>
      </c>
      <c r="W71" s="74" t="s">
        <v>55</v>
      </c>
      <c r="X71" t="str">
        <f>IF(X70&gt;=X69,"Yes","No")</f>
        <v>Yes</v>
      </c>
    </row>
    <row r="72" spans="1:27">
      <c r="H72" s="82"/>
      <c r="N72" s="90" t="s">
        <v>27</v>
      </c>
      <c r="O72" s="91">
        <f>SUM(O68:O71)</f>
        <v>0.11850000000000001</v>
      </c>
      <c r="W72" s="74" t="s">
        <v>56</v>
      </c>
      <c r="X72" s="66">
        <f>X70/X69</f>
        <v>2.7468016062668266</v>
      </c>
    </row>
    <row r="73" spans="1:27" ht="13.5" thickBot="1">
      <c r="N73" s="92"/>
      <c r="O73" s="93">
        <f>1-O72</f>
        <v>0.88149999999999995</v>
      </c>
    </row>
    <row r="74" spans="1:27" ht="25.5" customHeight="1">
      <c r="N74" s="94"/>
      <c r="O74" s="95"/>
      <c r="W74" s="155" t="s">
        <v>336</v>
      </c>
      <c r="X74" s="156"/>
    </row>
    <row r="75" spans="1:27" ht="15">
      <c r="N75" s="94" t="s">
        <v>334</v>
      </c>
      <c r="O75" s="95">
        <v>0.1</v>
      </c>
      <c r="W75" s="67" t="s">
        <v>344</v>
      </c>
      <c r="X75" s="68">
        <f>X68</f>
        <v>320016789.08613348</v>
      </c>
    </row>
    <row r="76" spans="1:27" ht="15">
      <c r="N76" s="94" t="s">
        <v>335</v>
      </c>
      <c r="O76" s="95">
        <v>0.6089</v>
      </c>
      <c r="W76" s="67" t="s">
        <v>322</v>
      </c>
      <c r="X76" s="68">
        <f>X75/0.8815</f>
        <v>363036629.70633411</v>
      </c>
    </row>
    <row r="77" spans="1:27" ht="27.75" customHeight="1">
      <c r="W77" s="96" t="s">
        <v>323</v>
      </c>
      <c r="X77" s="68">
        <f>X76*1.1</f>
        <v>399340292.67696756</v>
      </c>
    </row>
    <row r="78" spans="1:27" ht="13.5" thickBot="1">
      <c r="W78" s="69" t="s">
        <v>324</v>
      </c>
      <c r="X78" s="70">
        <f>X77*0.3911</f>
        <v>156181988.46596202</v>
      </c>
    </row>
    <row r="79" spans="1:27" ht="14.25" thickTop="1" thickBot="1">
      <c r="W79" s="71" t="s">
        <v>325</v>
      </c>
      <c r="X79" s="72">
        <f>X78/2</f>
        <v>78090994.232981011</v>
      </c>
    </row>
    <row r="80" spans="1:27" ht="13.5" thickBot="1">
      <c r="W80" s="71" t="s">
        <v>343</v>
      </c>
      <c r="X80" s="97">
        <f>X78*1.15</f>
        <v>179609286.73585632</v>
      </c>
    </row>
  </sheetData>
  <autoFilter ref="A1:AA80" xr:uid="{00000000-0009-0000-0000-000001000000}"/>
  <mergeCells count="1">
    <mergeCell ref="W74:X74"/>
  </mergeCells>
  <conditionalFormatting sqref="T1:V1">
    <cfRule type="containsText" dxfId="1" priority="1" operator="containsText" text="Yes">
      <formula>NOT(ISERROR(SEARCH("Yes",T1)))</formula>
    </cfRule>
  </conditionalFormatting>
  <dataValidations count="2">
    <dataValidation type="list" allowBlank="1" showInputMessage="1" showErrorMessage="1" sqref="K82:K84 K86:K95 K72:K80 J71 K54:K65" xr:uid="{00000000-0002-0000-0100-000000000000}">
      <formula1>HospitalClass</formula1>
    </dataValidation>
    <dataValidation type="list" allowBlank="1" showInputMessage="1" showErrorMessage="1" sqref="I1:J1" xr:uid="{00000000-0002-0000-0100-000001000000}">
      <formula1>#REF!</formula1>
    </dataValidation>
  </dataValidations>
  <pageMargins left="0.7" right="0.7" top="0.75" bottom="0.75" header="0.3" footer="0.3"/>
  <pageSetup paperSize="5" scale="25"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H10"/>
  <sheetViews>
    <sheetView workbookViewId="0">
      <selection activeCell="H21" sqref="H21"/>
    </sheetView>
  </sheetViews>
  <sheetFormatPr defaultColWidth="8.85546875" defaultRowHeight="12.75"/>
  <cols>
    <col min="1" max="1" width="10.28515625" bestFit="1" customWidth="1"/>
    <col min="2" max="2" width="7.140625" bestFit="1" customWidth="1"/>
    <col min="3" max="3" width="14.42578125" customWidth="1"/>
    <col min="4" max="4" width="16.85546875" bestFit="1" customWidth="1"/>
    <col min="5" max="5" width="61.42578125" bestFit="1" customWidth="1"/>
    <col min="6" max="6" width="30.42578125" bestFit="1" customWidth="1"/>
    <col min="7" max="7" width="19.85546875" bestFit="1" customWidth="1"/>
    <col min="8" max="8" width="19.42578125" customWidth="1"/>
    <col min="9" max="13" width="16.42578125" customWidth="1"/>
  </cols>
  <sheetData>
    <row r="1" spans="1:8" ht="30">
      <c r="A1" s="35" t="s">
        <v>0</v>
      </c>
      <c r="B1" s="35" t="s">
        <v>1</v>
      </c>
      <c r="C1" s="35" t="s">
        <v>2</v>
      </c>
      <c r="D1" s="35" t="s">
        <v>307</v>
      </c>
      <c r="E1" s="36" t="s">
        <v>308</v>
      </c>
      <c r="F1" s="35" t="s">
        <v>309</v>
      </c>
      <c r="G1" s="35" t="s">
        <v>310</v>
      </c>
      <c r="H1" s="37" t="s">
        <v>81</v>
      </c>
    </row>
    <row r="2" spans="1:8">
      <c r="A2" s="38"/>
      <c r="B2" s="39"/>
      <c r="C2" s="40"/>
      <c r="D2" s="34" t="s">
        <v>378</v>
      </c>
      <c r="E2" s="38" t="s">
        <v>337</v>
      </c>
      <c r="F2" s="34" t="s">
        <v>379</v>
      </c>
      <c r="G2" s="34" t="s">
        <v>380</v>
      </c>
      <c r="H2" s="42">
        <v>159035323.2246933</v>
      </c>
    </row>
    <row r="3" spans="1:8">
      <c r="A3" s="40">
        <v>127295703</v>
      </c>
      <c r="B3" s="39" t="s">
        <v>381</v>
      </c>
      <c r="C3" s="40">
        <v>1932123247</v>
      </c>
      <c r="D3" s="34" t="s">
        <v>378</v>
      </c>
      <c r="E3" s="38" t="s">
        <v>382</v>
      </c>
      <c r="F3" s="34" t="s">
        <v>379</v>
      </c>
      <c r="G3" s="34" t="s">
        <v>380</v>
      </c>
      <c r="H3" s="42">
        <v>45042806.799999997</v>
      </c>
    </row>
    <row r="4" spans="1:8">
      <c r="A4" s="40" t="s">
        <v>289</v>
      </c>
      <c r="B4" s="39" t="s">
        <v>383</v>
      </c>
      <c r="C4" s="40" t="s">
        <v>290</v>
      </c>
      <c r="D4" s="34" t="s">
        <v>292</v>
      </c>
      <c r="E4" s="38" t="s">
        <v>384</v>
      </c>
      <c r="F4" s="34" t="s">
        <v>293</v>
      </c>
      <c r="G4" s="34" t="s">
        <v>385</v>
      </c>
      <c r="H4" s="42">
        <v>6018892.8838887177</v>
      </c>
    </row>
    <row r="5" spans="1:8">
      <c r="A5" s="40" t="s">
        <v>294</v>
      </c>
      <c r="B5" s="39" t="s">
        <v>386</v>
      </c>
      <c r="C5" s="40" t="s">
        <v>295</v>
      </c>
      <c r="D5" s="34" t="s">
        <v>292</v>
      </c>
      <c r="E5" s="38" t="s">
        <v>387</v>
      </c>
      <c r="F5" s="34" t="s">
        <v>293</v>
      </c>
      <c r="G5" s="34" t="s">
        <v>385</v>
      </c>
      <c r="H5" s="42">
        <v>380377.01702915126</v>
      </c>
    </row>
    <row r="6" spans="1:8">
      <c r="A6" s="40">
        <v>131038504</v>
      </c>
      <c r="B6" s="39" t="s">
        <v>388</v>
      </c>
      <c r="C6" s="40">
        <v>1598750721</v>
      </c>
      <c r="D6" s="34" t="s">
        <v>106</v>
      </c>
      <c r="E6" s="38" t="s">
        <v>389</v>
      </c>
      <c r="F6" s="34" t="s">
        <v>107</v>
      </c>
      <c r="G6" s="34" t="s">
        <v>390</v>
      </c>
      <c r="H6" s="42">
        <v>4023068.46</v>
      </c>
    </row>
    <row r="7" spans="1:8">
      <c r="A7" s="38"/>
      <c r="B7" s="39"/>
      <c r="C7" s="40"/>
      <c r="D7" s="34"/>
      <c r="E7" s="38"/>
      <c r="F7" s="34"/>
      <c r="G7" s="34"/>
      <c r="H7" s="42"/>
    </row>
    <row r="8" spans="1:8">
      <c r="A8" s="38"/>
      <c r="B8" s="39"/>
      <c r="C8" s="40"/>
      <c r="D8" s="34"/>
      <c r="E8" s="38"/>
      <c r="F8" s="34"/>
      <c r="G8" s="34"/>
      <c r="H8" s="42"/>
    </row>
    <row r="9" spans="1:8">
      <c r="A9" s="38"/>
      <c r="B9" s="39"/>
      <c r="C9" s="40"/>
      <c r="D9" s="34"/>
      <c r="E9" s="38"/>
      <c r="F9" s="34"/>
      <c r="G9" s="34"/>
      <c r="H9" s="42"/>
    </row>
    <row r="10" spans="1:8">
      <c r="G10" s="56" t="s">
        <v>84</v>
      </c>
      <c r="H10" s="154">
        <f>SUM(H2:H9)</f>
        <v>214500468.38561118</v>
      </c>
    </row>
  </sheetData>
  <pageMargins left="0.7" right="0.7" top="0.75" bottom="0.75" header="0.3" footer="0.3"/>
  <pageSetup paperSize="5" scale="8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7"/>
  <sheetViews>
    <sheetView workbookViewId="0">
      <selection activeCell="A4" sqref="A4"/>
    </sheetView>
  </sheetViews>
  <sheetFormatPr defaultColWidth="8.85546875" defaultRowHeight="12.75"/>
  <cols>
    <col min="1" max="1" width="29" bestFit="1" customWidth="1"/>
    <col min="2" max="2" width="13.42578125" bestFit="1" customWidth="1"/>
    <col min="3" max="3" width="16" bestFit="1" customWidth="1"/>
    <col min="4" max="4" width="15" customWidth="1"/>
    <col min="5" max="5" width="37.140625" bestFit="1" customWidth="1"/>
    <col min="6" max="6" width="31.28515625" customWidth="1"/>
    <col min="7" max="7" width="11.85546875" bestFit="1" customWidth="1"/>
    <col min="8" max="8" width="12" bestFit="1" customWidth="1"/>
  </cols>
  <sheetData>
    <row r="1" spans="1:8" ht="25.5">
      <c r="A1" s="20" t="s">
        <v>28</v>
      </c>
      <c r="B1" s="20" t="s">
        <v>29</v>
      </c>
      <c r="C1" s="20" t="s">
        <v>70</v>
      </c>
      <c r="D1" s="20" t="s">
        <v>71</v>
      </c>
      <c r="E1" s="20" t="s">
        <v>72</v>
      </c>
      <c r="F1" s="20" t="s">
        <v>73</v>
      </c>
      <c r="G1" s="20" t="s">
        <v>30</v>
      </c>
      <c r="H1" s="20" t="s">
        <v>31</v>
      </c>
    </row>
    <row r="2" spans="1:8">
      <c r="A2" s="6" t="s">
        <v>364</v>
      </c>
      <c r="B2" s="6" t="s">
        <v>34</v>
      </c>
      <c r="C2" s="6" t="s">
        <v>374</v>
      </c>
      <c r="D2" s="11">
        <v>2819957876</v>
      </c>
      <c r="E2" s="6" t="s">
        <v>375</v>
      </c>
      <c r="F2" s="6" t="s">
        <v>376</v>
      </c>
      <c r="G2" s="6" t="s">
        <v>47</v>
      </c>
      <c r="H2" s="6" t="s">
        <v>47</v>
      </c>
    </row>
    <row r="3" spans="1:8">
      <c r="A3" s="57" t="s">
        <v>365</v>
      </c>
      <c r="B3" s="57" t="s">
        <v>34</v>
      </c>
      <c r="C3" s="57" t="s">
        <v>370</v>
      </c>
      <c r="D3" s="11">
        <v>9725367232</v>
      </c>
      <c r="E3" t="s">
        <v>371</v>
      </c>
      <c r="F3" s="57" t="s">
        <v>391</v>
      </c>
      <c r="G3" s="6" t="s">
        <v>47</v>
      </c>
      <c r="H3" s="6" t="s">
        <v>47</v>
      </c>
    </row>
    <row r="4" spans="1:8">
      <c r="A4" s="57" t="s">
        <v>366</v>
      </c>
      <c r="B4" s="57" t="s">
        <v>34</v>
      </c>
      <c r="C4" s="57" t="s">
        <v>368</v>
      </c>
      <c r="D4" s="57" t="s">
        <v>394</v>
      </c>
      <c r="E4" s="57" t="s">
        <v>369</v>
      </c>
      <c r="F4" s="57" t="s">
        <v>395</v>
      </c>
      <c r="G4" s="6" t="s">
        <v>47</v>
      </c>
      <c r="H4" s="6" t="s">
        <v>47</v>
      </c>
    </row>
    <row r="5" spans="1:8">
      <c r="A5" s="6" t="s">
        <v>367</v>
      </c>
      <c r="B5" s="6" t="s">
        <v>34</v>
      </c>
      <c r="C5" s="57" t="s">
        <v>372</v>
      </c>
      <c r="D5" s="11">
        <v>5124067201</v>
      </c>
      <c r="E5" s="57" t="s">
        <v>373</v>
      </c>
      <c r="F5" s="6" t="s">
        <v>377</v>
      </c>
      <c r="G5" s="6" t="s">
        <v>47</v>
      </c>
      <c r="H5" s="6" t="s">
        <v>47</v>
      </c>
    </row>
    <row r="6" spans="1:8">
      <c r="A6" s="6"/>
      <c r="B6" s="6"/>
      <c r="C6" s="6"/>
      <c r="D6" s="6"/>
      <c r="E6" s="6"/>
      <c r="F6" s="6"/>
      <c r="G6" s="6"/>
      <c r="H6" s="6"/>
    </row>
    <row r="7" spans="1:8">
      <c r="A7" s="6"/>
      <c r="B7" s="6"/>
      <c r="C7" s="6"/>
      <c r="D7" s="6"/>
      <c r="E7" s="6"/>
      <c r="F7" s="6"/>
      <c r="G7" s="6"/>
      <c r="H7" s="6"/>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O72"/>
  <sheetViews>
    <sheetView topLeftCell="A61" zoomScale="90" zoomScaleNormal="90" workbookViewId="0">
      <selection activeCell="F84" sqref="F84"/>
    </sheetView>
  </sheetViews>
  <sheetFormatPr defaultRowHeight="12.75"/>
  <cols>
    <col min="1" max="1" width="25.5703125" bestFit="1" customWidth="1"/>
    <col min="2" max="3" width="11.42578125" customWidth="1"/>
    <col min="4" max="4" width="15.7109375" bestFit="1" customWidth="1"/>
    <col min="5" max="5" width="15.5703125" bestFit="1" customWidth="1"/>
    <col min="6" max="6" width="11" bestFit="1" customWidth="1"/>
    <col min="7" max="7" width="70.140625" customWidth="1"/>
    <col min="8" max="8" width="12.5703125" customWidth="1"/>
    <col min="9" max="9" width="12.140625" bestFit="1" customWidth="1"/>
    <col min="10" max="11" width="17.28515625" bestFit="1" customWidth="1"/>
    <col min="12" max="12" width="12.5703125" bestFit="1" customWidth="1"/>
    <col min="13" max="13" width="12.5703125" customWidth="1"/>
    <col min="14" max="14" width="17.5703125" bestFit="1" customWidth="1"/>
    <col min="15" max="15" width="13.28515625" bestFit="1" customWidth="1"/>
  </cols>
  <sheetData>
    <row r="1" spans="1:15">
      <c r="A1" s="26" t="s">
        <v>404</v>
      </c>
      <c r="B1" t="s">
        <v>34</v>
      </c>
      <c r="H1" t="s">
        <v>425</v>
      </c>
    </row>
    <row r="3" spans="1:15">
      <c r="A3" s="26"/>
      <c r="B3" s="130" t="s">
        <v>60</v>
      </c>
      <c r="C3" s="130"/>
      <c r="H3" s="130" t="s">
        <v>405</v>
      </c>
      <c r="I3" s="131"/>
      <c r="J3" s="131"/>
      <c r="K3" s="130" t="s">
        <v>406</v>
      </c>
      <c r="L3" s="130"/>
      <c r="M3" s="130"/>
      <c r="N3" s="130"/>
      <c r="O3" s="130"/>
    </row>
    <row r="4" spans="1:15">
      <c r="A4" s="26" t="s">
        <v>7</v>
      </c>
      <c r="B4" s="132" t="s">
        <v>61</v>
      </c>
      <c r="C4" s="132" t="s">
        <v>62</v>
      </c>
      <c r="E4" s="26" t="s">
        <v>7</v>
      </c>
      <c r="F4" s="136" t="s">
        <v>2</v>
      </c>
      <c r="G4" s="26" t="s">
        <v>63</v>
      </c>
      <c r="H4" s="27" t="s">
        <v>407</v>
      </c>
      <c r="I4" s="132" t="s">
        <v>408</v>
      </c>
      <c r="J4" s="132" t="s">
        <v>27</v>
      </c>
      <c r="K4" s="132" t="s">
        <v>64</v>
      </c>
      <c r="L4" s="132" t="s">
        <v>65</v>
      </c>
      <c r="M4" s="132" t="s">
        <v>409</v>
      </c>
      <c r="N4" s="132" t="s">
        <v>410</v>
      </c>
      <c r="O4" s="132" t="s">
        <v>27</v>
      </c>
    </row>
    <row r="5" spans="1:15" ht="15">
      <c r="A5" t="s">
        <v>66</v>
      </c>
      <c r="B5" s="133">
        <v>0.23</v>
      </c>
      <c r="C5" s="133"/>
      <c r="D5" s="151"/>
      <c r="E5" t="s">
        <v>66</v>
      </c>
      <c r="F5" s="137" t="s">
        <v>87</v>
      </c>
      <c r="G5" t="s">
        <v>88</v>
      </c>
      <c r="H5" s="134">
        <v>278888486.07129025</v>
      </c>
      <c r="I5" s="134">
        <v>434206.45407315198</v>
      </c>
      <c r="J5" s="134">
        <v>279322692.52536339</v>
      </c>
      <c r="K5" s="135">
        <v>64244219.28083358</v>
      </c>
      <c r="L5" s="135">
        <v>5838133.0499066105</v>
      </c>
      <c r="M5" s="134">
        <v>69973112.02835907</v>
      </c>
      <c r="N5" s="134">
        <v>109240.30238112553</v>
      </c>
      <c r="O5" s="135">
        <v>70082352.330740198</v>
      </c>
    </row>
    <row r="6" spans="1:15" ht="15">
      <c r="A6" t="s">
        <v>67</v>
      </c>
      <c r="B6" s="133">
        <v>0</v>
      </c>
      <c r="C6" s="133"/>
      <c r="D6" s="151"/>
      <c r="E6" t="s">
        <v>66</v>
      </c>
      <c r="F6" s="137" t="s">
        <v>101</v>
      </c>
      <c r="G6" t="s">
        <v>102</v>
      </c>
      <c r="H6" s="134">
        <v>3501449.0255005616</v>
      </c>
      <c r="I6" s="134">
        <v>0</v>
      </c>
      <c r="J6" s="134">
        <v>3501449.0255005616</v>
      </c>
      <c r="K6" s="135">
        <v>805333.2758651292</v>
      </c>
      <c r="L6" s="135">
        <v>73180.170044251412</v>
      </c>
      <c r="M6" s="134">
        <v>878513.44590938068</v>
      </c>
      <c r="N6" s="134">
        <v>0</v>
      </c>
      <c r="O6" s="135">
        <v>878513.44590938068</v>
      </c>
    </row>
    <row r="7" spans="1:15" ht="15">
      <c r="A7" t="s">
        <v>68</v>
      </c>
      <c r="B7" s="133">
        <v>0.68</v>
      </c>
      <c r="C7" s="133"/>
      <c r="D7" s="151"/>
      <c r="E7" t="s">
        <v>66</v>
      </c>
      <c r="F7" s="137" t="s">
        <v>97</v>
      </c>
      <c r="G7" t="s">
        <v>98</v>
      </c>
      <c r="H7" s="134">
        <v>48313323.992514655</v>
      </c>
      <c r="I7" s="134">
        <v>5698.9145192880624</v>
      </c>
      <c r="J7" s="134">
        <v>48319022.907033943</v>
      </c>
      <c r="K7" s="135">
        <v>11113375.268617807</v>
      </c>
      <c r="L7" s="135">
        <v>1009869.9075977551</v>
      </c>
      <c r="M7" s="134">
        <v>12121811.408616092</v>
      </c>
      <c r="N7" s="134">
        <v>1433.7675994708536</v>
      </c>
      <c r="O7" s="135">
        <v>12123245.176215563</v>
      </c>
    </row>
    <row r="8" spans="1:15" ht="15">
      <c r="A8" t="s">
        <v>20</v>
      </c>
      <c r="B8" s="133">
        <v>0.68</v>
      </c>
      <c r="C8" s="133"/>
      <c r="D8" s="151"/>
      <c r="E8" t="s">
        <v>66</v>
      </c>
      <c r="F8" s="137" t="s">
        <v>92</v>
      </c>
      <c r="G8" t="s">
        <v>93</v>
      </c>
      <c r="H8" s="134">
        <v>4023274.3618007516</v>
      </c>
      <c r="I8" s="134">
        <v>152.82505593566543</v>
      </c>
      <c r="J8" s="134">
        <v>4023427.1868566875</v>
      </c>
      <c r="K8" s="135">
        <v>925388.25297703815</v>
      </c>
      <c r="L8" s="135">
        <v>84089.601390456533</v>
      </c>
      <c r="M8" s="134">
        <v>1009439.4057097991</v>
      </c>
      <c r="N8" s="134">
        <v>38.448657695474786</v>
      </c>
      <c r="O8" s="135">
        <v>1009477.8543674946</v>
      </c>
    </row>
    <row r="9" spans="1:15" ht="15">
      <c r="A9" t="s">
        <v>24</v>
      </c>
      <c r="B9" s="133">
        <v>0.68</v>
      </c>
      <c r="C9" s="133"/>
      <c r="D9" s="151"/>
      <c r="E9" t="s">
        <v>68</v>
      </c>
      <c r="F9" s="137" t="s">
        <v>104</v>
      </c>
      <c r="G9" t="s">
        <v>105</v>
      </c>
      <c r="H9" s="134">
        <v>4956136.2011920251</v>
      </c>
      <c r="I9" s="134">
        <v>2188357.4878498535</v>
      </c>
      <c r="J9" s="134">
        <v>7144493.689041879</v>
      </c>
      <c r="K9" s="135">
        <v>4858255.7085484779</v>
      </c>
      <c r="L9" s="135">
        <v>445906.03166623507</v>
      </c>
      <c r="M9" s="134">
        <v>3676418.2576748962</v>
      </c>
      <c r="N9" s="134">
        <v>1627743.4825398168</v>
      </c>
      <c r="O9" s="135">
        <v>5304161.7402147129</v>
      </c>
    </row>
    <row r="10" spans="1:15" ht="15">
      <c r="A10" t="s">
        <v>25</v>
      </c>
      <c r="B10" s="133">
        <v>0</v>
      </c>
      <c r="C10" s="133"/>
      <c r="D10" s="151"/>
      <c r="E10" t="s">
        <v>20</v>
      </c>
      <c r="F10" s="137" t="s">
        <v>417</v>
      </c>
      <c r="G10" t="s">
        <v>177</v>
      </c>
      <c r="H10" s="134">
        <v>0</v>
      </c>
      <c r="I10" s="134">
        <v>0</v>
      </c>
      <c r="J10" s="134">
        <v>0</v>
      </c>
      <c r="K10" s="135">
        <v>0</v>
      </c>
      <c r="L10" s="135">
        <v>0</v>
      </c>
      <c r="M10" s="134">
        <v>0</v>
      </c>
      <c r="N10" s="134">
        <v>0</v>
      </c>
      <c r="O10" s="135">
        <v>0</v>
      </c>
    </row>
    <row r="11" spans="1:15" ht="15">
      <c r="A11" t="s">
        <v>69</v>
      </c>
      <c r="B11" s="133">
        <v>0.68</v>
      </c>
      <c r="C11" s="133"/>
      <c r="D11" s="151"/>
      <c r="E11" t="s">
        <v>20</v>
      </c>
      <c r="F11" s="137" t="s">
        <v>179</v>
      </c>
      <c r="G11" t="s">
        <v>180</v>
      </c>
      <c r="H11" s="134">
        <v>0</v>
      </c>
      <c r="I11" s="134">
        <v>0</v>
      </c>
      <c r="J11" s="134">
        <v>0</v>
      </c>
      <c r="K11" s="135">
        <v>0</v>
      </c>
      <c r="L11" s="135">
        <v>0</v>
      </c>
      <c r="M11" s="134">
        <v>0</v>
      </c>
      <c r="N11" s="134">
        <v>0</v>
      </c>
      <c r="O11" s="135">
        <v>0</v>
      </c>
    </row>
    <row r="12" spans="1:15" ht="15">
      <c r="A12" t="s">
        <v>26</v>
      </c>
      <c r="B12" s="133">
        <v>0.68</v>
      </c>
      <c r="C12" s="133"/>
      <c r="D12" s="151"/>
      <c r="E12" t="s">
        <v>20</v>
      </c>
      <c r="F12" s="137" t="s">
        <v>158</v>
      </c>
      <c r="G12" t="s">
        <v>159</v>
      </c>
      <c r="H12" s="134">
        <v>3203085.380819967</v>
      </c>
      <c r="I12" s="134">
        <v>1325548.4079300615</v>
      </c>
      <c r="J12" s="134">
        <v>4528633.7887500282</v>
      </c>
      <c r="K12" s="135">
        <v>3079470.9763500192</v>
      </c>
      <c r="L12" s="135">
        <v>282518.65930778964</v>
      </c>
      <c r="M12" s="134">
        <v>2376020.57266017</v>
      </c>
      <c r="N12" s="134">
        <v>985969.0629976393</v>
      </c>
      <c r="O12" s="135">
        <v>3361989.6356578092</v>
      </c>
    </row>
    <row r="13" spans="1:15" ht="15">
      <c r="D13" s="151"/>
      <c r="E13" t="s">
        <v>20</v>
      </c>
      <c r="F13" s="137" t="s">
        <v>281</v>
      </c>
      <c r="G13" t="s">
        <v>282</v>
      </c>
      <c r="H13" s="134">
        <v>0</v>
      </c>
      <c r="I13" s="134">
        <v>0</v>
      </c>
      <c r="J13" s="134">
        <v>0</v>
      </c>
      <c r="K13" s="135">
        <v>0</v>
      </c>
      <c r="L13" s="135">
        <v>0</v>
      </c>
      <c r="M13" s="134">
        <v>0</v>
      </c>
      <c r="N13" s="134">
        <v>0</v>
      </c>
      <c r="O13" s="135">
        <v>0</v>
      </c>
    </row>
    <row r="14" spans="1:15" ht="15">
      <c r="D14" s="151"/>
      <c r="E14" t="s">
        <v>20</v>
      </c>
      <c r="F14" s="137" t="s">
        <v>152</v>
      </c>
      <c r="G14" t="s">
        <v>153</v>
      </c>
      <c r="H14" s="134">
        <v>0</v>
      </c>
      <c r="I14" s="134">
        <v>0</v>
      </c>
      <c r="J14" s="134">
        <v>0</v>
      </c>
      <c r="K14" s="135">
        <v>0</v>
      </c>
      <c r="L14" s="135">
        <v>0</v>
      </c>
      <c r="M14" s="134">
        <v>0</v>
      </c>
      <c r="N14" s="134">
        <v>0</v>
      </c>
      <c r="O14" s="135">
        <v>0</v>
      </c>
    </row>
    <row r="15" spans="1:15" ht="15">
      <c r="D15" s="151"/>
      <c r="E15" t="s">
        <v>20</v>
      </c>
      <c r="F15" s="137" t="s">
        <v>171</v>
      </c>
      <c r="G15" t="s">
        <v>172</v>
      </c>
      <c r="H15" s="134">
        <v>1252557.7463446264</v>
      </c>
      <c r="I15" s="134">
        <v>346272.71867753379</v>
      </c>
      <c r="J15" s="134">
        <v>1598830.4650221602</v>
      </c>
      <c r="K15" s="135">
        <v>1087204.7162150689</v>
      </c>
      <c r="L15" s="135">
        <v>99496.088211717666</v>
      </c>
      <c r="M15" s="134">
        <v>929136.32324025978</v>
      </c>
      <c r="N15" s="134">
        <v>257564.481186527</v>
      </c>
      <c r="O15" s="135">
        <v>1186700.8044267867</v>
      </c>
    </row>
    <row r="16" spans="1:15" ht="15">
      <c r="D16" s="151"/>
      <c r="E16" t="s">
        <v>20</v>
      </c>
      <c r="F16" s="137" t="s">
        <v>418</v>
      </c>
      <c r="G16" t="s">
        <v>411</v>
      </c>
      <c r="H16" s="134">
        <v>152890.54539044484</v>
      </c>
      <c r="I16" s="134">
        <v>380311.32706491597</v>
      </c>
      <c r="J16" s="134">
        <v>533201.87245536083</v>
      </c>
      <c r="K16" s="135">
        <v>362577.2732696454</v>
      </c>
      <c r="L16" s="135">
        <v>33718.658817325486</v>
      </c>
      <c r="M16" s="134">
        <v>113412.86229464656</v>
      </c>
      <c r="N16" s="134">
        <v>282883.06979232433</v>
      </c>
      <c r="O16" s="135">
        <v>396295.93208697089</v>
      </c>
    </row>
    <row r="17" spans="4:15" ht="15">
      <c r="D17" s="151"/>
      <c r="E17" t="s">
        <v>20</v>
      </c>
      <c r="F17" s="137" t="s">
        <v>268</v>
      </c>
      <c r="G17" t="s">
        <v>363</v>
      </c>
      <c r="H17" s="134">
        <v>0</v>
      </c>
      <c r="I17" s="134">
        <v>159109.39747374525</v>
      </c>
      <c r="J17" s="134">
        <v>159109.39747374525</v>
      </c>
      <c r="K17" s="135">
        <v>108194.39028214678</v>
      </c>
      <c r="L17" s="135">
        <v>10154.319280472757</v>
      </c>
      <c r="M17" s="134">
        <v>0</v>
      </c>
      <c r="N17" s="134">
        <v>118348.70956261954</v>
      </c>
      <c r="O17" s="135">
        <v>118348.70956261954</v>
      </c>
    </row>
    <row r="18" spans="4:15" ht="15">
      <c r="D18" s="151"/>
      <c r="E18" t="s">
        <v>20</v>
      </c>
      <c r="F18" s="137" t="s">
        <v>202</v>
      </c>
      <c r="G18" t="s">
        <v>203</v>
      </c>
      <c r="H18" s="134">
        <v>0</v>
      </c>
      <c r="I18" s="134">
        <v>0</v>
      </c>
      <c r="J18" s="134">
        <v>0</v>
      </c>
      <c r="K18" s="135">
        <v>0</v>
      </c>
      <c r="L18" s="135">
        <v>0</v>
      </c>
      <c r="M18" s="134">
        <v>0</v>
      </c>
      <c r="N18" s="134">
        <v>0</v>
      </c>
      <c r="O18" s="135">
        <v>0</v>
      </c>
    </row>
    <row r="19" spans="4:15" ht="15">
      <c r="D19" s="151"/>
      <c r="E19" t="s">
        <v>20</v>
      </c>
      <c r="F19" s="137" t="s">
        <v>214</v>
      </c>
      <c r="G19" t="s">
        <v>215</v>
      </c>
      <c r="H19" s="134">
        <v>5001155.1393081499</v>
      </c>
      <c r="I19" s="134">
        <v>966612.84671425517</v>
      </c>
      <c r="J19" s="134">
        <v>5967767.9860224053</v>
      </c>
      <c r="K19" s="135">
        <v>4058082.2304952359</v>
      </c>
      <c r="L19" s="135">
        <v>370716.38930335781</v>
      </c>
      <c r="M19" s="134">
        <v>3709812.9101445861</v>
      </c>
      <c r="N19" s="134">
        <v>718985.70965400734</v>
      </c>
      <c r="O19" s="135">
        <v>4428798.6197985932</v>
      </c>
    </row>
    <row r="20" spans="4:15" ht="15">
      <c r="D20" s="151"/>
      <c r="E20" t="s">
        <v>20</v>
      </c>
      <c r="F20" s="137" t="s">
        <v>248</v>
      </c>
      <c r="G20" t="s">
        <v>249</v>
      </c>
      <c r="H20" s="134">
        <v>17282.162464741668</v>
      </c>
      <c r="I20" s="134">
        <v>4706.0922129421442</v>
      </c>
      <c r="J20" s="134">
        <v>21988.254677683813</v>
      </c>
      <c r="K20" s="135">
        <v>14952.013180824993</v>
      </c>
      <c r="L20" s="135">
        <v>1368.2272374791735</v>
      </c>
      <c r="M20" s="134">
        <v>12819.756164529656</v>
      </c>
      <c r="N20" s="134">
        <v>3500.4842537745112</v>
      </c>
      <c r="O20" s="135">
        <v>16320.240418304167</v>
      </c>
    </row>
    <row r="21" spans="4:15" ht="15">
      <c r="D21" s="151"/>
      <c r="E21" t="s">
        <v>20</v>
      </c>
      <c r="F21" s="137" t="s">
        <v>161</v>
      </c>
      <c r="G21" t="s">
        <v>162</v>
      </c>
      <c r="H21" s="134">
        <v>318891.97016624297</v>
      </c>
      <c r="I21" s="134">
        <v>1244079.3061849175</v>
      </c>
      <c r="J21" s="134">
        <v>1562971.2763511604</v>
      </c>
      <c r="K21" s="135">
        <v>1062820.467918789</v>
      </c>
      <c r="L21" s="135">
        <v>99101.529204035469</v>
      </c>
      <c r="M21" s="134">
        <v>236551.25964115333</v>
      </c>
      <c r="N21" s="134">
        <v>925370.73748167127</v>
      </c>
      <c r="O21" s="135">
        <v>1161921.9971228247</v>
      </c>
    </row>
    <row r="22" spans="4:15" ht="15">
      <c r="D22" s="151"/>
      <c r="E22" t="s">
        <v>20</v>
      </c>
      <c r="F22" s="137" t="s">
        <v>239</v>
      </c>
      <c r="G22" t="s">
        <v>240</v>
      </c>
      <c r="H22" s="134">
        <v>1274623.941695333</v>
      </c>
      <c r="I22" s="134">
        <v>1082817.7132282779</v>
      </c>
      <c r="J22" s="134">
        <v>2357441.6549236109</v>
      </c>
      <c r="K22" s="135">
        <v>1603060.3253480555</v>
      </c>
      <c r="L22" s="135">
        <v>147865.69003776211</v>
      </c>
      <c r="M22" s="134">
        <v>945504.83293643128</v>
      </c>
      <c r="N22" s="134">
        <v>805421.18244938646</v>
      </c>
      <c r="O22" s="135">
        <v>1750926.0153858177</v>
      </c>
    </row>
    <row r="23" spans="4:15" ht="15">
      <c r="D23" s="151"/>
      <c r="E23" t="s">
        <v>20</v>
      </c>
      <c r="F23" s="137" t="s">
        <v>230</v>
      </c>
      <c r="G23" t="s">
        <v>231</v>
      </c>
      <c r="H23" s="134">
        <v>4796989.1605352303</v>
      </c>
      <c r="I23" s="134">
        <v>6720573.7398845777</v>
      </c>
      <c r="J23" s="134">
        <v>11517562.900419809</v>
      </c>
      <c r="K23" s="135">
        <v>7831942.7722854707</v>
      </c>
      <c r="L23" s="135">
        <v>725316.97539552615</v>
      </c>
      <c r="M23" s="134">
        <v>3558364.3822013275</v>
      </c>
      <c r="N23" s="134">
        <v>4998895.3654796686</v>
      </c>
      <c r="O23" s="135">
        <v>8557259.7476809956</v>
      </c>
    </row>
    <row r="24" spans="4:15" ht="15">
      <c r="D24" s="151"/>
      <c r="E24" t="s">
        <v>20</v>
      </c>
      <c r="F24" s="137" t="s">
        <v>276</v>
      </c>
      <c r="G24" t="s">
        <v>277</v>
      </c>
      <c r="H24" s="134">
        <v>0</v>
      </c>
      <c r="I24" s="134">
        <v>0</v>
      </c>
      <c r="J24" s="134">
        <v>0</v>
      </c>
      <c r="K24" s="135">
        <v>0</v>
      </c>
      <c r="L24" s="135">
        <v>0</v>
      </c>
      <c r="M24" s="134">
        <v>0</v>
      </c>
      <c r="N24" s="134">
        <v>0</v>
      </c>
      <c r="O24" s="135">
        <v>0</v>
      </c>
    </row>
    <row r="25" spans="4:15" ht="15">
      <c r="D25" s="151"/>
      <c r="E25" t="s">
        <v>20</v>
      </c>
      <c r="F25" s="137" t="s">
        <v>251</v>
      </c>
      <c r="G25" t="s">
        <v>252</v>
      </c>
      <c r="H25" s="134">
        <v>65715.30617904976</v>
      </c>
      <c r="I25" s="134">
        <v>13561.241241739051</v>
      </c>
      <c r="J25" s="134">
        <v>79276.547420788818</v>
      </c>
      <c r="K25" s="135">
        <v>53908.052246136402</v>
      </c>
      <c r="L25" s="135">
        <v>4926.1029226633564</v>
      </c>
      <c r="M25" s="134">
        <v>48747.036327864997</v>
      </c>
      <c r="N25" s="134">
        <v>10087.118840934758</v>
      </c>
      <c r="O25" s="135">
        <v>58834.155168799756</v>
      </c>
    </row>
    <row r="26" spans="4:15" ht="15">
      <c r="D26" s="151"/>
      <c r="E26" t="s">
        <v>20</v>
      </c>
      <c r="F26" s="137" t="s">
        <v>199</v>
      </c>
      <c r="G26" t="s">
        <v>200</v>
      </c>
      <c r="H26" s="134">
        <v>1301228.9404092967</v>
      </c>
      <c r="I26" s="134">
        <v>411009.68175300601</v>
      </c>
      <c r="J26" s="134">
        <v>1712238.6221623027</v>
      </c>
      <c r="K26" s="135">
        <v>1164322.2630703659</v>
      </c>
      <c r="L26" s="135">
        <v>106635.03577311995</v>
      </c>
      <c r="M26" s="134">
        <v>965240.187060458</v>
      </c>
      <c r="N26" s="134">
        <v>305717.11178302788</v>
      </c>
      <c r="O26" s="135">
        <v>1270957.2988434858</v>
      </c>
    </row>
    <row r="27" spans="4:15" ht="15">
      <c r="D27" s="151"/>
      <c r="E27" t="s">
        <v>20</v>
      </c>
      <c r="F27" s="137" t="s">
        <v>173</v>
      </c>
      <c r="G27" t="s">
        <v>174</v>
      </c>
      <c r="H27" s="134">
        <v>0</v>
      </c>
      <c r="I27" s="134">
        <v>0</v>
      </c>
      <c r="J27" s="134">
        <v>0</v>
      </c>
      <c r="K27" s="135">
        <v>0</v>
      </c>
      <c r="L27" s="135">
        <v>0</v>
      </c>
      <c r="M27" s="134">
        <v>0</v>
      </c>
      <c r="N27" s="134">
        <v>0</v>
      </c>
      <c r="O27" s="135">
        <v>0</v>
      </c>
    </row>
    <row r="28" spans="4:15" ht="15">
      <c r="D28" s="151"/>
      <c r="E28" t="s">
        <v>20</v>
      </c>
      <c r="F28" s="137" t="s">
        <v>117</v>
      </c>
      <c r="G28" t="s">
        <v>118</v>
      </c>
      <c r="H28" s="134">
        <v>0</v>
      </c>
      <c r="I28" s="134">
        <v>34345.062590507398</v>
      </c>
      <c r="J28" s="134">
        <v>34345.062590507398</v>
      </c>
      <c r="K28" s="135">
        <v>23354.642561545032</v>
      </c>
      <c r="L28" s="135">
        <v>2191.8927278282254</v>
      </c>
      <c r="M28" s="134">
        <v>0</v>
      </c>
      <c r="N28" s="134">
        <v>25546.535289373256</v>
      </c>
      <c r="O28" s="135">
        <v>25546.535289373256</v>
      </c>
    </row>
    <row r="29" spans="4:15" ht="15">
      <c r="D29" s="151"/>
      <c r="E29" t="s">
        <v>20</v>
      </c>
      <c r="F29" s="137" t="s">
        <v>208</v>
      </c>
      <c r="G29" t="s">
        <v>209</v>
      </c>
      <c r="H29" s="134">
        <v>11632459.449893996</v>
      </c>
      <c r="I29" s="134">
        <v>8490314.5144219622</v>
      </c>
      <c r="J29" s="134">
        <v>20122773.964315958</v>
      </c>
      <c r="K29" s="135">
        <v>13683486.295734853</v>
      </c>
      <c r="L29" s="135">
        <v>1260633.3229244505</v>
      </c>
      <c r="M29" s="134">
        <v>8628856.1426070891</v>
      </c>
      <c r="N29" s="134">
        <v>6315263.4760522144</v>
      </c>
      <c r="O29" s="135">
        <v>14944119.618659303</v>
      </c>
    </row>
    <row r="30" spans="4:15" ht="15">
      <c r="D30" s="151"/>
      <c r="E30" t="s">
        <v>20</v>
      </c>
      <c r="F30" s="137" t="s">
        <v>227</v>
      </c>
      <c r="G30" t="s">
        <v>228</v>
      </c>
      <c r="H30" s="134">
        <v>3091165.3515645233</v>
      </c>
      <c r="I30" s="134">
        <v>3265768.5530329533</v>
      </c>
      <c r="J30" s="134">
        <v>6356933.9045974761</v>
      </c>
      <c r="K30" s="135">
        <v>4322715.0551262842</v>
      </c>
      <c r="L30" s="135">
        <v>399427.31736198068</v>
      </c>
      <c r="M30" s="134">
        <v>2292999.279004992</v>
      </c>
      <c r="N30" s="134">
        <v>2429143.0934832734</v>
      </c>
      <c r="O30" s="135">
        <v>4722142.3724882659</v>
      </c>
    </row>
    <row r="31" spans="4:15" ht="15">
      <c r="D31" s="151"/>
      <c r="E31" t="s">
        <v>20</v>
      </c>
      <c r="F31" s="137" t="s">
        <v>242</v>
      </c>
      <c r="G31" t="s">
        <v>243</v>
      </c>
      <c r="H31" s="134">
        <v>6718895.9584970931</v>
      </c>
      <c r="I31" s="134">
        <v>9637476.6199585795</v>
      </c>
      <c r="J31" s="134">
        <v>16356372.578455672</v>
      </c>
      <c r="K31" s="135">
        <v>11122333.353349857</v>
      </c>
      <c r="L31" s="135">
        <v>1030229.880606611</v>
      </c>
      <c r="M31" s="134">
        <v>4984017.9467415987</v>
      </c>
      <c r="N31" s="134">
        <v>7168545.2872148706</v>
      </c>
      <c r="O31" s="135">
        <v>12152563.233956469</v>
      </c>
    </row>
    <row r="32" spans="4:15" ht="15">
      <c r="D32" s="151"/>
      <c r="E32" t="s">
        <v>20</v>
      </c>
      <c r="F32" s="137" t="s">
        <v>220</v>
      </c>
      <c r="G32" t="s">
        <v>221</v>
      </c>
      <c r="H32" s="134">
        <v>579192.42669648351</v>
      </c>
      <c r="I32" s="134">
        <v>731679.065153306</v>
      </c>
      <c r="J32" s="134">
        <v>1310871.4918497894</v>
      </c>
      <c r="K32" s="135">
        <v>891392.61445785686</v>
      </c>
      <c r="L32" s="135">
        <v>82484.562126903489</v>
      </c>
      <c r="M32" s="134">
        <v>429639.84962758684</v>
      </c>
      <c r="N32" s="134">
        <v>544237.32695717365</v>
      </c>
      <c r="O32" s="135">
        <v>973877.17658476043</v>
      </c>
    </row>
    <row r="33" spans="4:15" ht="15">
      <c r="D33" s="151"/>
      <c r="E33" t="s">
        <v>20</v>
      </c>
      <c r="F33" s="137" t="s">
        <v>155</v>
      </c>
      <c r="G33" t="s">
        <v>412</v>
      </c>
      <c r="H33" s="134">
        <v>0</v>
      </c>
      <c r="I33" s="134">
        <v>0</v>
      </c>
      <c r="J33" s="134">
        <v>0</v>
      </c>
      <c r="K33" s="135">
        <v>0</v>
      </c>
      <c r="L33" s="135">
        <v>0</v>
      </c>
      <c r="M33" s="134">
        <v>0</v>
      </c>
      <c r="N33" s="134">
        <v>0</v>
      </c>
      <c r="O33" s="135">
        <v>0</v>
      </c>
    </row>
    <row r="34" spans="4:15" ht="15">
      <c r="D34" s="151"/>
      <c r="E34" t="s">
        <v>20</v>
      </c>
      <c r="F34" s="137" t="s">
        <v>419</v>
      </c>
      <c r="G34" t="s">
        <v>413</v>
      </c>
      <c r="H34" s="134">
        <v>0</v>
      </c>
      <c r="I34" s="134">
        <v>0</v>
      </c>
      <c r="J34" s="134">
        <v>0</v>
      </c>
      <c r="K34" s="135">
        <v>0</v>
      </c>
      <c r="L34" s="135">
        <v>0</v>
      </c>
      <c r="M34" s="134">
        <v>0</v>
      </c>
      <c r="N34" s="134">
        <v>0</v>
      </c>
      <c r="O34" s="135">
        <v>0</v>
      </c>
    </row>
    <row r="35" spans="4:15" ht="15">
      <c r="D35" s="153"/>
      <c r="E35" t="s">
        <v>20</v>
      </c>
      <c r="F35" s="137" t="s">
        <v>420</v>
      </c>
      <c r="G35" t="s">
        <v>414</v>
      </c>
      <c r="H35" s="134">
        <v>0</v>
      </c>
      <c r="I35" s="134">
        <v>0</v>
      </c>
      <c r="J35" s="134">
        <v>0</v>
      </c>
      <c r="K35" s="135">
        <v>0</v>
      </c>
      <c r="L35" s="135">
        <v>0</v>
      </c>
      <c r="M35" s="134">
        <v>0</v>
      </c>
      <c r="N35" s="134">
        <v>0</v>
      </c>
      <c r="O35" s="135">
        <v>0</v>
      </c>
    </row>
    <row r="36" spans="4:15" ht="15">
      <c r="D36" s="151"/>
      <c r="E36" t="s">
        <v>20</v>
      </c>
      <c r="F36" s="137" t="s">
        <v>236</v>
      </c>
      <c r="G36" t="s">
        <v>237</v>
      </c>
      <c r="H36" s="134">
        <v>11018317.37307338</v>
      </c>
      <c r="I36" s="134">
        <v>9314218.1816919465</v>
      </c>
      <c r="J36" s="134">
        <v>20332535.554765329</v>
      </c>
      <c r="K36" s="135">
        <v>13826124.177240424</v>
      </c>
      <c r="L36" s="135">
        <v>1275266.0545096323</v>
      </c>
      <c r="M36" s="134">
        <v>8173290.9498089878</v>
      </c>
      <c r="N36" s="134">
        <v>6928099.2819410674</v>
      </c>
      <c r="O36" s="135">
        <v>15101390.231750056</v>
      </c>
    </row>
    <row r="37" spans="4:15" ht="15">
      <c r="D37" s="151"/>
      <c r="E37" t="s">
        <v>20</v>
      </c>
      <c r="F37" s="137" t="s">
        <v>270</v>
      </c>
      <c r="G37" t="s">
        <v>271</v>
      </c>
      <c r="H37" s="134">
        <v>10248.132481297314</v>
      </c>
      <c r="I37" s="134">
        <v>10262.860327844142</v>
      </c>
      <c r="J37" s="134">
        <v>20510.992809141455</v>
      </c>
      <c r="K37" s="135">
        <v>13947.47511021619</v>
      </c>
      <c r="L37" s="135">
        <v>1288.2174885521517</v>
      </c>
      <c r="M37" s="134">
        <v>7601.9745688689591</v>
      </c>
      <c r="N37" s="134">
        <v>7633.7180298993853</v>
      </c>
      <c r="O37" s="135">
        <v>15235.692598768344</v>
      </c>
    </row>
    <row r="38" spans="4:15" ht="15">
      <c r="D38" s="151"/>
      <c r="E38" t="s">
        <v>20</v>
      </c>
      <c r="F38" s="137" t="s">
        <v>254</v>
      </c>
      <c r="G38" t="s">
        <v>255</v>
      </c>
      <c r="H38" s="134">
        <v>0</v>
      </c>
      <c r="I38" s="134">
        <v>412.41383814580121</v>
      </c>
      <c r="J38" s="134">
        <v>412.41383814580121</v>
      </c>
      <c r="K38" s="135">
        <v>280.44140993914482</v>
      </c>
      <c r="L38" s="135">
        <v>26.32014107720261</v>
      </c>
      <c r="M38" s="134">
        <v>0</v>
      </c>
      <c r="N38" s="134">
        <v>306.76155101634743</v>
      </c>
      <c r="O38" s="135">
        <v>306.76155101634743</v>
      </c>
    </row>
    <row r="39" spans="4:15" ht="15">
      <c r="D39" s="151"/>
      <c r="E39" t="s">
        <v>20</v>
      </c>
      <c r="F39" s="137" t="s">
        <v>110</v>
      </c>
      <c r="G39" t="s">
        <v>111</v>
      </c>
      <c r="H39" s="134">
        <v>1057873.7315145887</v>
      </c>
      <c r="I39" s="134">
        <v>592817.84396336856</v>
      </c>
      <c r="J39" s="134">
        <v>1650691.5754779573</v>
      </c>
      <c r="K39" s="135">
        <v>1122470.271325011</v>
      </c>
      <c r="L39" s="135">
        <v>103200.77192926558</v>
      </c>
      <c r="M39" s="134">
        <v>784721.43278053927</v>
      </c>
      <c r="N39" s="134">
        <v>440949.6104737373</v>
      </c>
      <c r="O39" s="135">
        <v>1225671.0432542765</v>
      </c>
    </row>
    <row r="40" spans="4:15" ht="15">
      <c r="D40" s="151"/>
      <c r="E40" t="s">
        <v>20</v>
      </c>
      <c r="F40" s="137" t="s">
        <v>399</v>
      </c>
      <c r="G40" t="s">
        <v>358</v>
      </c>
      <c r="H40" s="134">
        <v>1024111.4268607167</v>
      </c>
      <c r="I40" s="134">
        <v>0</v>
      </c>
      <c r="J40" s="134">
        <v>1024111.4268607167</v>
      </c>
      <c r="K40" s="135">
        <v>696395.77026528737</v>
      </c>
      <c r="L40" s="135">
        <v>63281.081774951941</v>
      </c>
      <c r="M40" s="134">
        <v>759676.85204023938</v>
      </c>
      <c r="N40" s="134">
        <v>0</v>
      </c>
      <c r="O40" s="135">
        <v>759676.85204023938</v>
      </c>
    </row>
    <row r="41" spans="4:15" ht="15">
      <c r="D41" s="151"/>
      <c r="E41" t="s">
        <v>20</v>
      </c>
      <c r="F41" s="137" t="s">
        <v>134</v>
      </c>
      <c r="G41" t="s">
        <v>135</v>
      </c>
      <c r="H41" s="134">
        <v>0</v>
      </c>
      <c r="I41" s="134">
        <v>180188.68230908579</v>
      </c>
      <c r="J41" s="134">
        <v>180188.68230908579</v>
      </c>
      <c r="K41" s="135">
        <v>122528.30397017834</v>
      </c>
      <c r="L41" s="135">
        <v>11499.593612602606</v>
      </c>
      <c r="M41" s="134">
        <v>0</v>
      </c>
      <c r="N41" s="134">
        <v>134027.89758278095</v>
      </c>
      <c r="O41" s="135">
        <v>134027.89758278095</v>
      </c>
    </row>
    <row r="42" spans="4:15" ht="15">
      <c r="D42" s="151"/>
      <c r="E42" t="s">
        <v>20</v>
      </c>
      <c r="F42" s="137" t="s">
        <v>146</v>
      </c>
      <c r="G42" t="s">
        <v>147</v>
      </c>
      <c r="H42" s="134">
        <v>856760.21828289295</v>
      </c>
      <c r="I42" s="134">
        <v>568133.33921090653</v>
      </c>
      <c r="J42" s="134">
        <v>1424893.5574937994</v>
      </c>
      <c r="K42" s="135">
        <v>968927.61909578368</v>
      </c>
      <c r="L42" s="135">
        <v>89198.366578511428</v>
      </c>
      <c r="M42" s="134">
        <v>635537.19693723926</v>
      </c>
      <c r="N42" s="134">
        <v>422588.7887370559</v>
      </c>
      <c r="O42" s="135">
        <v>1058125.9856742951</v>
      </c>
    </row>
    <row r="43" spans="4:15" ht="15">
      <c r="D43" s="151"/>
      <c r="E43" t="s">
        <v>20</v>
      </c>
      <c r="F43" s="137" t="s">
        <v>245</v>
      </c>
      <c r="G43" t="s">
        <v>246</v>
      </c>
      <c r="H43" s="134">
        <v>0</v>
      </c>
      <c r="I43" s="134">
        <v>199857.78303205332</v>
      </c>
      <c r="J43" s="134">
        <v>199857.78303205332</v>
      </c>
      <c r="K43" s="135">
        <v>135903.29246179626</v>
      </c>
      <c r="L43" s="135">
        <v>12754.87037105898</v>
      </c>
      <c r="M43" s="134">
        <v>0</v>
      </c>
      <c r="N43" s="134">
        <v>148658.16283285525</v>
      </c>
      <c r="O43" s="135">
        <v>148658.16283285525</v>
      </c>
    </row>
    <row r="44" spans="4:15" ht="15">
      <c r="D44" s="151"/>
      <c r="E44" t="s">
        <v>20</v>
      </c>
      <c r="F44" s="137" t="s">
        <v>193</v>
      </c>
      <c r="G44" t="s">
        <v>194</v>
      </c>
      <c r="H44" s="134">
        <v>0</v>
      </c>
      <c r="I44" s="134">
        <v>0</v>
      </c>
      <c r="J44" s="134">
        <v>0</v>
      </c>
      <c r="K44" s="135">
        <v>0</v>
      </c>
      <c r="L44" s="135">
        <v>0</v>
      </c>
      <c r="M44" s="134">
        <v>0</v>
      </c>
      <c r="N44" s="134">
        <v>0</v>
      </c>
      <c r="O44" s="135">
        <v>0</v>
      </c>
    </row>
    <row r="45" spans="4:15" ht="15">
      <c r="D45" s="151"/>
      <c r="E45" t="s">
        <v>20</v>
      </c>
      <c r="F45" s="137" t="s">
        <v>140</v>
      </c>
      <c r="G45" t="s">
        <v>141</v>
      </c>
      <c r="H45" s="134">
        <v>0</v>
      </c>
      <c r="I45" s="134">
        <v>1142.7024116204004</v>
      </c>
      <c r="J45" s="134">
        <v>1142.7024116204004</v>
      </c>
      <c r="K45" s="135">
        <v>777.03763990187235</v>
      </c>
      <c r="L45" s="135">
        <v>72.926962922315298</v>
      </c>
      <c r="M45" s="134">
        <v>0</v>
      </c>
      <c r="N45" s="134">
        <v>849.96460282418764</v>
      </c>
      <c r="O45" s="135">
        <v>849.96460282418764</v>
      </c>
    </row>
    <row r="46" spans="4:15" ht="15">
      <c r="D46" s="151"/>
      <c r="E46" t="s">
        <v>20</v>
      </c>
      <c r="F46" s="137" t="s">
        <v>398</v>
      </c>
      <c r="G46" t="s">
        <v>349</v>
      </c>
      <c r="H46" s="134">
        <v>0</v>
      </c>
      <c r="I46" s="134">
        <v>0</v>
      </c>
      <c r="J46" s="134">
        <v>0</v>
      </c>
      <c r="K46" s="135">
        <v>0</v>
      </c>
      <c r="L46" s="135">
        <v>0</v>
      </c>
      <c r="M46" s="134">
        <v>0</v>
      </c>
      <c r="N46" s="134">
        <v>0</v>
      </c>
      <c r="O46" s="135">
        <v>0</v>
      </c>
    </row>
    <row r="47" spans="4:15" ht="15">
      <c r="D47" s="151"/>
      <c r="E47" t="s">
        <v>20</v>
      </c>
      <c r="F47" s="137" t="s">
        <v>211</v>
      </c>
      <c r="G47" t="s">
        <v>212</v>
      </c>
      <c r="H47" s="134">
        <v>31301116.392252646</v>
      </c>
      <c r="I47" s="134">
        <v>11445323.188465979</v>
      </c>
      <c r="J47" s="134">
        <v>42746439.580718622</v>
      </c>
      <c r="K47" s="135">
        <v>29067578.914888665</v>
      </c>
      <c r="L47" s="135">
        <v>2664571.2520000497</v>
      </c>
      <c r="M47" s="134">
        <v>23218892.927600961</v>
      </c>
      <c r="N47" s="134">
        <v>8513257.2392877545</v>
      </c>
      <c r="O47" s="135">
        <v>31732150.166888714</v>
      </c>
    </row>
    <row r="48" spans="4:15" ht="15">
      <c r="D48" s="151"/>
      <c r="E48" t="s">
        <v>20</v>
      </c>
      <c r="F48" s="137" t="s">
        <v>233</v>
      </c>
      <c r="G48" t="s">
        <v>234</v>
      </c>
      <c r="H48" s="134">
        <v>6032340.1941840174</v>
      </c>
      <c r="I48" s="134">
        <v>3637312.0374326059</v>
      </c>
      <c r="J48" s="134">
        <v>9669652.2316166237</v>
      </c>
      <c r="K48" s="135">
        <v>6575363.5174993044</v>
      </c>
      <c r="L48" s="135">
        <v>604877.86863739858</v>
      </c>
      <c r="M48" s="134">
        <v>4474736.9172522444</v>
      </c>
      <c r="N48" s="134">
        <v>2705504.4688844588</v>
      </c>
      <c r="O48" s="135">
        <v>7180241.3861367032</v>
      </c>
    </row>
    <row r="49" spans="4:15" ht="15">
      <c r="D49" s="151"/>
      <c r="E49" t="s">
        <v>20</v>
      </c>
      <c r="F49" s="137" t="s">
        <v>114</v>
      </c>
      <c r="G49" t="s">
        <v>115</v>
      </c>
      <c r="H49" s="134">
        <v>0</v>
      </c>
      <c r="I49" s="134">
        <v>0</v>
      </c>
      <c r="J49" s="134">
        <v>0</v>
      </c>
      <c r="K49" s="135">
        <v>0</v>
      </c>
      <c r="L49" s="135">
        <v>0</v>
      </c>
      <c r="M49" s="134">
        <v>0</v>
      </c>
      <c r="N49" s="134">
        <v>0</v>
      </c>
      <c r="O49" s="135">
        <v>0</v>
      </c>
    </row>
    <row r="50" spans="4:15" ht="15">
      <c r="D50" s="151"/>
      <c r="E50" t="s">
        <v>20</v>
      </c>
      <c r="F50" s="137" t="s">
        <v>125</v>
      </c>
      <c r="G50" t="s">
        <v>126</v>
      </c>
      <c r="H50" s="134">
        <v>373634.37474469776</v>
      </c>
      <c r="I50" s="134">
        <v>183140.94876306731</v>
      </c>
      <c r="J50" s="134">
        <v>556775.32350776508</v>
      </c>
      <c r="K50" s="135">
        <v>378607.2199852803</v>
      </c>
      <c r="L50" s="135">
        <v>34775.32568326105</v>
      </c>
      <c r="M50" s="134">
        <v>277158.69403991982</v>
      </c>
      <c r="N50" s="134">
        <v>136223.85162862152</v>
      </c>
      <c r="O50" s="135">
        <v>413382.54566854134</v>
      </c>
    </row>
    <row r="51" spans="4:15" ht="15">
      <c r="D51" s="151"/>
      <c r="E51" t="s">
        <v>20</v>
      </c>
      <c r="F51" s="137" t="s">
        <v>303</v>
      </c>
      <c r="G51" t="s">
        <v>362</v>
      </c>
      <c r="H51" s="134">
        <v>0</v>
      </c>
      <c r="I51" s="134">
        <v>12202.386086888262</v>
      </c>
      <c r="J51" s="134">
        <v>12202.386086888262</v>
      </c>
      <c r="K51" s="135">
        <v>8297.6225390840191</v>
      </c>
      <c r="L51" s="135">
        <v>778.75302324809536</v>
      </c>
      <c r="M51" s="134">
        <v>0</v>
      </c>
      <c r="N51" s="134">
        <v>9076.375562332114</v>
      </c>
      <c r="O51" s="135">
        <v>9076.375562332114</v>
      </c>
    </row>
    <row r="52" spans="4:15" ht="15">
      <c r="D52" s="151"/>
      <c r="E52" t="s">
        <v>20</v>
      </c>
      <c r="F52" s="137" t="s">
        <v>224</v>
      </c>
      <c r="G52" t="s">
        <v>225</v>
      </c>
      <c r="H52" s="134">
        <v>3740207.0638089455</v>
      </c>
      <c r="I52" s="134">
        <v>891199.155291448</v>
      </c>
      <c r="J52" s="134">
        <v>4631406.2191003934</v>
      </c>
      <c r="K52" s="135">
        <v>3149356.2289882675</v>
      </c>
      <c r="L52" s="135">
        <v>287988.00334819709</v>
      </c>
      <c r="M52" s="134">
        <v>2774452.7145086541</v>
      </c>
      <c r="N52" s="134">
        <v>662891.51782781084</v>
      </c>
      <c r="O52" s="135">
        <v>3437344.2323364648</v>
      </c>
    </row>
    <row r="53" spans="4:15" ht="15">
      <c r="D53" s="151"/>
      <c r="E53" t="s">
        <v>20</v>
      </c>
      <c r="F53" s="137" t="s">
        <v>262</v>
      </c>
      <c r="G53" t="s">
        <v>263</v>
      </c>
      <c r="H53" s="134">
        <v>2720536.3484428423</v>
      </c>
      <c r="I53" s="134">
        <v>1701829.3941061094</v>
      </c>
      <c r="J53" s="134">
        <v>4422365.7425489519</v>
      </c>
      <c r="K53" s="135">
        <v>3007208.7049332876</v>
      </c>
      <c r="L53" s="135">
        <v>276715.52398299018</v>
      </c>
      <c r="M53" s="134">
        <v>2018069.9432105736</v>
      </c>
      <c r="N53" s="134">
        <v>1265854.2857057038</v>
      </c>
      <c r="O53" s="135">
        <v>3283924.2289162772</v>
      </c>
    </row>
    <row r="54" spans="4:15" ht="15">
      <c r="D54" s="151"/>
      <c r="E54" t="s">
        <v>20</v>
      </c>
      <c r="F54" s="137" t="s">
        <v>205</v>
      </c>
      <c r="G54" t="s">
        <v>206</v>
      </c>
      <c r="H54" s="134">
        <v>255117.27214244142</v>
      </c>
      <c r="I54" s="134">
        <v>44062.60781956662</v>
      </c>
      <c r="J54" s="134">
        <v>299179.87996200804</v>
      </c>
      <c r="K54" s="135">
        <v>203442.31837416548</v>
      </c>
      <c r="L54" s="135">
        <v>18576.068194107214</v>
      </c>
      <c r="M54" s="134">
        <v>189243.74938023367</v>
      </c>
      <c r="N54" s="134">
        <v>32774.637188039051</v>
      </c>
      <c r="O54" s="135">
        <v>222018.38656827272</v>
      </c>
    </row>
    <row r="55" spans="4:15" ht="15">
      <c r="D55" s="151"/>
      <c r="E55" t="s">
        <v>20</v>
      </c>
      <c r="F55" s="137" t="s">
        <v>131</v>
      </c>
      <c r="G55" t="s">
        <v>132</v>
      </c>
      <c r="H55" s="134">
        <v>0</v>
      </c>
      <c r="I55" s="134">
        <v>0</v>
      </c>
      <c r="J55" s="134">
        <v>0</v>
      </c>
      <c r="K55" s="135">
        <v>0</v>
      </c>
      <c r="L55" s="135">
        <v>0</v>
      </c>
      <c r="M55" s="134">
        <v>0</v>
      </c>
      <c r="N55" s="134">
        <v>0</v>
      </c>
      <c r="O55" s="135">
        <v>0</v>
      </c>
    </row>
    <row r="56" spans="4:15" ht="15">
      <c r="D56" s="151"/>
      <c r="E56" t="s">
        <v>20</v>
      </c>
      <c r="F56" s="137" t="s">
        <v>166</v>
      </c>
      <c r="G56" t="s">
        <v>167</v>
      </c>
      <c r="H56" s="134">
        <v>0</v>
      </c>
      <c r="I56" s="134">
        <v>0</v>
      </c>
      <c r="J56" s="134">
        <v>0</v>
      </c>
      <c r="K56" s="135">
        <v>0</v>
      </c>
      <c r="L56" s="135">
        <v>0</v>
      </c>
      <c r="M56" s="134">
        <v>0</v>
      </c>
      <c r="N56" s="134">
        <v>0</v>
      </c>
      <c r="O56" s="135">
        <v>0</v>
      </c>
    </row>
    <row r="57" spans="4:15" ht="15">
      <c r="D57" s="151"/>
      <c r="E57" t="s">
        <v>20</v>
      </c>
      <c r="F57" s="137" t="s">
        <v>184</v>
      </c>
      <c r="G57" t="s">
        <v>185</v>
      </c>
      <c r="H57" s="134">
        <v>175645.48560123355</v>
      </c>
      <c r="I57" s="134">
        <v>310407.99623986799</v>
      </c>
      <c r="J57" s="134">
        <v>486053.48184110154</v>
      </c>
      <c r="K57" s="135">
        <v>330516.36765194905</v>
      </c>
      <c r="L57" s="135">
        <v>30663.502135590108</v>
      </c>
      <c r="M57" s="134">
        <v>130292.27687230155</v>
      </c>
      <c r="N57" s="134">
        <v>230887.59291523765</v>
      </c>
      <c r="O57" s="135">
        <v>361179.86978753918</v>
      </c>
    </row>
    <row r="58" spans="4:15" ht="15">
      <c r="D58" s="151"/>
      <c r="E58" t="s">
        <v>20</v>
      </c>
      <c r="F58" s="137" t="s">
        <v>257</v>
      </c>
      <c r="G58" t="s">
        <v>258</v>
      </c>
      <c r="H58" s="134">
        <v>543129.80839407665</v>
      </c>
      <c r="I58" s="134">
        <v>751176.6467158969</v>
      </c>
      <c r="J58" s="134">
        <v>1294306.4551099734</v>
      </c>
      <c r="K58" s="135">
        <v>880128.38947478204</v>
      </c>
      <c r="L58" s="135">
        <v>81500.539844471728</v>
      </c>
      <c r="M58" s="134">
        <v>402888.91644809878</v>
      </c>
      <c r="N58" s="134">
        <v>558740.01287115505</v>
      </c>
      <c r="O58" s="135">
        <v>961628.92931925389</v>
      </c>
    </row>
    <row r="59" spans="4:15" ht="15">
      <c r="D59" s="151"/>
      <c r="E59" t="s">
        <v>20</v>
      </c>
      <c r="F59" s="137" t="s">
        <v>190</v>
      </c>
      <c r="G59" t="s">
        <v>191</v>
      </c>
      <c r="H59" s="134">
        <v>0</v>
      </c>
      <c r="I59" s="134">
        <v>0</v>
      </c>
      <c r="J59" s="134">
        <v>0</v>
      </c>
      <c r="K59" s="135">
        <v>0</v>
      </c>
      <c r="L59" s="135">
        <v>0</v>
      </c>
      <c r="M59" s="134">
        <v>0</v>
      </c>
      <c r="N59" s="134">
        <v>0</v>
      </c>
      <c r="O59" s="135">
        <v>0</v>
      </c>
    </row>
    <row r="60" spans="4:15" ht="15">
      <c r="D60" s="151"/>
      <c r="E60" t="s">
        <v>20</v>
      </c>
      <c r="F60" s="137" t="s">
        <v>217</v>
      </c>
      <c r="G60" t="s">
        <v>218</v>
      </c>
      <c r="H60" s="134">
        <v>2788871.304225103</v>
      </c>
      <c r="I60" s="134">
        <v>485426.12989635475</v>
      </c>
      <c r="J60" s="134">
        <v>3274297.4341214579</v>
      </c>
      <c r="K60" s="135">
        <v>2226522.2552025914</v>
      </c>
      <c r="L60" s="135">
        <v>203307.49175774411</v>
      </c>
      <c r="M60" s="134">
        <v>2068760.2125810739</v>
      </c>
      <c r="N60" s="134">
        <v>361069.5343792619</v>
      </c>
      <c r="O60" s="135">
        <v>2429829.7469603359</v>
      </c>
    </row>
    <row r="61" spans="4:15" ht="15">
      <c r="D61" s="151"/>
      <c r="E61" t="s">
        <v>20</v>
      </c>
      <c r="F61" s="137" t="s">
        <v>137</v>
      </c>
      <c r="G61" t="s">
        <v>138</v>
      </c>
      <c r="H61" s="134">
        <v>0</v>
      </c>
      <c r="I61" s="134">
        <v>1129.6657986147809</v>
      </c>
      <c r="J61" s="134">
        <v>1129.6657986147809</v>
      </c>
      <c r="K61" s="135">
        <v>768.17274305805108</v>
      </c>
      <c r="L61" s="135">
        <v>72.094969759768972</v>
      </c>
      <c r="M61" s="134">
        <v>0</v>
      </c>
      <c r="N61" s="134">
        <v>840.2677128178201</v>
      </c>
      <c r="O61" s="135">
        <v>840.2677128178201</v>
      </c>
    </row>
    <row r="62" spans="4:15" ht="15">
      <c r="D62" s="151"/>
      <c r="E62" t="s">
        <v>20</v>
      </c>
      <c r="F62" s="137" t="s">
        <v>273</v>
      </c>
      <c r="G62" t="s">
        <v>274</v>
      </c>
      <c r="H62" s="134">
        <v>0</v>
      </c>
      <c r="I62" s="134">
        <v>0</v>
      </c>
      <c r="J62" s="134">
        <v>0</v>
      </c>
      <c r="K62" s="135">
        <v>0</v>
      </c>
      <c r="L62" s="135">
        <v>0</v>
      </c>
      <c r="M62" s="134">
        <v>0</v>
      </c>
      <c r="N62" s="134">
        <v>0</v>
      </c>
      <c r="O62" s="135">
        <v>0</v>
      </c>
    </row>
    <row r="63" spans="4:15" ht="15">
      <c r="D63" s="151"/>
      <c r="E63" t="s">
        <v>20</v>
      </c>
      <c r="F63" s="137" t="s">
        <v>176</v>
      </c>
      <c r="G63" t="s">
        <v>177</v>
      </c>
      <c r="H63" s="134">
        <v>0</v>
      </c>
      <c r="I63" s="134">
        <v>1664.8174418654833</v>
      </c>
      <c r="J63" s="134">
        <v>1664.8174418654833</v>
      </c>
      <c r="K63" s="135">
        <v>1132.0758604685286</v>
      </c>
      <c r="L63" s="135">
        <v>106.2482048000435</v>
      </c>
      <c r="M63" s="134">
        <v>0</v>
      </c>
      <c r="N63" s="134">
        <v>1238.3240652685722</v>
      </c>
      <c r="O63" s="135">
        <v>1238.3240652685722</v>
      </c>
    </row>
    <row r="64" spans="4:15" ht="15">
      <c r="D64" s="151"/>
      <c r="E64" t="s">
        <v>20</v>
      </c>
      <c r="F64" s="137" t="s">
        <v>196</v>
      </c>
      <c r="G64" t="s">
        <v>197</v>
      </c>
      <c r="H64" s="134">
        <v>0</v>
      </c>
      <c r="I64" s="134">
        <v>0</v>
      </c>
      <c r="J64" s="134">
        <v>0</v>
      </c>
      <c r="K64" s="135">
        <v>0</v>
      </c>
      <c r="L64" s="135">
        <v>0</v>
      </c>
      <c r="M64" s="134">
        <v>0</v>
      </c>
      <c r="N64" s="134">
        <v>0</v>
      </c>
      <c r="O64" s="135">
        <v>0</v>
      </c>
    </row>
    <row r="65" spans="4:15" ht="15">
      <c r="D65" s="151"/>
      <c r="E65" t="s">
        <v>20</v>
      </c>
      <c r="F65" s="137" t="s">
        <v>143</v>
      </c>
      <c r="G65" t="s">
        <v>144</v>
      </c>
      <c r="H65" s="134">
        <v>0</v>
      </c>
      <c r="I65" s="134">
        <v>35399.357235549549</v>
      </c>
      <c r="J65" s="134">
        <v>35399.357235549549</v>
      </c>
      <c r="K65" s="135">
        <v>24071.562920173696</v>
      </c>
      <c r="L65" s="135">
        <v>2259.177530683552</v>
      </c>
      <c r="M65" s="134">
        <v>0</v>
      </c>
      <c r="N65" s="134">
        <v>26330.740450857247</v>
      </c>
      <c r="O65" s="135">
        <v>26330.740450857247</v>
      </c>
    </row>
    <row r="66" spans="4:15" ht="15">
      <c r="D66" s="151"/>
      <c r="E66" t="s">
        <v>20</v>
      </c>
      <c r="F66" s="137" t="s">
        <v>279</v>
      </c>
      <c r="G66" t="s">
        <v>361</v>
      </c>
      <c r="H66" s="134">
        <v>0</v>
      </c>
      <c r="I66" s="134">
        <v>89550.142573432066</v>
      </c>
      <c r="J66" s="134">
        <v>89550.142573432066</v>
      </c>
      <c r="K66" s="135">
        <v>60894.09694993381</v>
      </c>
      <c r="L66" s="135">
        <v>5715.0661981014218</v>
      </c>
      <c r="M66" s="134">
        <v>0</v>
      </c>
      <c r="N66" s="134">
        <v>66609.163148035223</v>
      </c>
      <c r="O66" s="135">
        <v>66609.163148035223</v>
      </c>
    </row>
    <row r="67" spans="4:15" ht="15">
      <c r="D67" s="151"/>
      <c r="E67" t="s">
        <v>20</v>
      </c>
      <c r="F67" s="137" t="s">
        <v>122</v>
      </c>
      <c r="G67" t="s">
        <v>123</v>
      </c>
      <c r="H67" s="134">
        <v>1881163.4289378857</v>
      </c>
      <c r="I67" s="134">
        <v>1352406.835724429</v>
      </c>
      <c r="J67" s="134">
        <v>3233570.2646623147</v>
      </c>
      <c r="K67" s="135">
        <v>2198827.779970374</v>
      </c>
      <c r="L67" s="135">
        <v>202549.6032513472</v>
      </c>
      <c r="M67" s="134">
        <v>1395430.4916305905</v>
      </c>
      <c r="N67" s="134">
        <v>1005946.8915911308</v>
      </c>
      <c r="O67" s="135">
        <v>2401377.3832217213</v>
      </c>
    </row>
    <row r="68" spans="4:15" ht="15">
      <c r="D68" s="151"/>
      <c r="E68" t="s">
        <v>24</v>
      </c>
      <c r="F68" s="137" t="s">
        <v>284</v>
      </c>
      <c r="G68" t="s">
        <v>285</v>
      </c>
      <c r="H68" s="134">
        <v>2534426.4555953094</v>
      </c>
      <c r="I68" s="134">
        <v>1242143.5626286019</v>
      </c>
      <c r="J68" s="134">
        <v>3776570.0182239115</v>
      </c>
      <c r="K68" s="135">
        <v>2568067.6123922602</v>
      </c>
      <c r="L68" s="135">
        <v>235878.54188430338</v>
      </c>
      <c r="M68" s="134">
        <v>1880015.2610503007</v>
      </c>
      <c r="N68" s="134">
        <v>923930.89322626276</v>
      </c>
      <c r="O68" s="135">
        <v>2803946.1542765633</v>
      </c>
    </row>
    <row r="69" spans="4:15" ht="15">
      <c r="D69" s="151"/>
      <c r="E69" t="s">
        <v>415</v>
      </c>
      <c r="F69" s="137" t="s">
        <v>290</v>
      </c>
      <c r="G69" t="s">
        <v>291</v>
      </c>
      <c r="H69" s="134">
        <v>3251277.2706608237</v>
      </c>
      <c r="I69" s="134">
        <v>0</v>
      </c>
      <c r="J69" s="134">
        <v>3251277.2706608237</v>
      </c>
      <c r="K69" s="135">
        <v>2210868.5440493603</v>
      </c>
      <c r="L69" s="135">
        <v>200900.34877202107</v>
      </c>
      <c r="M69" s="134">
        <v>2411768.8928213813</v>
      </c>
      <c r="N69" s="134">
        <v>0</v>
      </c>
      <c r="O69" s="135">
        <v>2411768.8928213813</v>
      </c>
    </row>
    <row r="70" spans="4:15" ht="15">
      <c r="D70" s="151"/>
      <c r="E70" t="s">
        <v>415</v>
      </c>
      <c r="F70" s="137" t="s">
        <v>295</v>
      </c>
      <c r="G70" t="s">
        <v>296</v>
      </c>
      <c r="H70" s="134">
        <v>16191.751957761269</v>
      </c>
      <c r="I70" s="134">
        <v>0</v>
      </c>
      <c r="J70" s="134">
        <v>16191.751957761269</v>
      </c>
      <c r="K70" s="135">
        <v>11010.391331277664</v>
      </c>
      <c r="L70" s="135">
        <v>1000.5079065075045</v>
      </c>
      <c r="M70" s="134">
        <v>12010.899237785168</v>
      </c>
      <c r="N70" s="134">
        <v>0</v>
      </c>
      <c r="O70" s="135">
        <v>12010.899237785168</v>
      </c>
    </row>
    <row r="71" spans="4:15" ht="15">
      <c r="D71" s="151"/>
      <c r="E71" t="s">
        <v>26</v>
      </c>
      <c r="F71" s="137" t="s">
        <v>298</v>
      </c>
      <c r="G71" t="s">
        <v>299</v>
      </c>
      <c r="H71" s="134">
        <v>53366863.83758498</v>
      </c>
      <c r="I71" s="134">
        <v>44660419.477068402</v>
      </c>
      <c r="J71" s="134">
        <v>98027283.314653382</v>
      </c>
      <c r="K71" s="135">
        <v>66658552.653964303</v>
      </c>
      <c r="L71" s="135">
        <v>6147819.01310586</v>
      </c>
      <c r="M71" s="134">
        <v>39587070.371504083</v>
      </c>
      <c r="N71" s="134">
        <v>33219301.295566086</v>
      </c>
      <c r="O71" s="135">
        <v>72806371.667070165</v>
      </c>
    </row>
    <row r="72" spans="4:15">
      <c r="J72" s="152">
        <v>617191065.12810409</v>
      </c>
      <c r="O72" s="28">
        <v>293529564.59261471</v>
      </c>
    </row>
  </sheetData>
  <conditionalFormatting sqref="D1:D1048576">
    <cfRule type="duplicateValues" dxfId="0" priority="1"/>
  </conditionalFormatting>
  <pageMargins left="0.7" right="0.7" top="0.75" bottom="0.75" header="0.3" footer="0.3"/>
  <pageSetup paperSize="5" scale="7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N18"/>
  <sheetViews>
    <sheetView tabSelected="1" workbookViewId="0">
      <selection activeCell="I21" sqref="I21"/>
    </sheetView>
  </sheetViews>
  <sheetFormatPr defaultColWidth="8.85546875" defaultRowHeight="12.75"/>
  <cols>
    <col min="1" max="1" width="17.28515625" style="4" customWidth="1"/>
    <col min="2" max="2" width="15.28515625" style="4" bestFit="1" customWidth="1"/>
    <col min="3" max="3" width="17.42578125" style="4" bestFit="1" customWidth="1"/>
    <col min="4" max="4" width="17.42578125" style="4" customWidth="1"/>
    <col min="5" max="5" width="15.140625" style="4" customWidth="1"/>
    <col min="6" max="6" width="12.140625" style="4" customWidth="1"/>
    <col min="7" max="7" width="16.42578125" style="4" bestFit="1" customWidth="1"/>
    <col min="8" max="8" width="18.28515625" style="4" customWidth="1"/>
    <col min="9" max="9" width="13.7109375" style="4" customWidth="1"/>
    <col min="10" max="10" width="13.42578125" style="4" customWidth="1"/>
    <col min="11" max="11" width="15.140625" style="4" customWidth="1"/>
    <col min="12" max="14" width="14.7109375" style="4" customWidth="1"/>
    <col min="15" max="16384" width="8.85546875" style="4"/>
  </cols>
  <sheetData>
    <row r="1" spans="1:14" ht="90">
      <c r="A1" s="7" t="s">
        <v>32</v>
      </c>
      <c r="B1" s="7" t="s">
        <v>82</v>
      </c>
      <c r="C1" s="7" t="s">
        <v>83</v>
      </c>
      <c r="D1" s="7" t="s">
        <v>57</v>
      </c>
      <c r="E1" s="7" t="s">
        <v>14</v>
      </c>
      <c r="F1" s="7" t="s">
        <v>50</v>
      </c>
      <c r="G1" s="7" t="s">
        <v>58</v>
      </c>
      <c r="H1" s="7" t="s">
        <v>51</v>
      </c>
      <c r="I1" s="35" t="s">
        <v>426</v>
      </c>
      <c r="J1" s="35" t="s">
        <v>427</v>
      </c>
      <c r="K1" s="35" t="s">
        <v>403</v>
      </c>
      <c r="L1" s="139"/>
      <c r="M1" s="139"/>
      <c r="N1" s="139"/>
    </row>
    <row r="2" spans="1:14" ht="15">
      <c r="A2" s="7" t="s">
        <v>33</v>
      </c>
      <c r="B2" s="43">
        <v>544319130.40999997</v>
      </c>
      <c r="C2" s="29">
        <f t="shared" ref="C2:C14" si="0">B2/$B$15*$C$15</f>
        <v>139702951.89320117</v>
      </c>
      <c r="D2" s="29">
        <v>133827968.40000001</v>
      </c>
      <c r="E2" s="29">
        <v>258418591.47999999</v>
      </c>
      <c r="F2" s="59">
        <f t="shared" ref="F2:F14" si="1">ROUND(IF((C2/E2)&gt;1,1,C2/E2),2)</f>
        <v>0.54</v>
      </c>
      <c r="G2" s="124">
        <v>153092848.38</v>
      </c>
      <c r="H2" s="59">
        <f t="shared" ref="H2:H14" si="2">ROUND((IF((C2/G2)&gt;1,1,C2/G2)),2)</f>
        <v>0.91</v>
      </c>
      <c r="I2" s="60">
        <f>(IF(C2&lt;G2,C2,G2))*0.3911</f>
        <v>54637824.485430978</v>
      </c>
      <c r="J2" s="60">
        <f>I:I*1.1</f>
        <v>60101606.93397408</v>
      </c>
      <c r="K2" s="61">
        <f>J2/2</f>
        <v>30050803.46698704</v>
      </c>
      <c r="L2" s="138"/>
      <c r="M2" s="138"/>
      <c r="N2" s="138"/>
    </row>
    <row r="3" spans="1:14" ht="15">
      <c r="A3" s="7" t="s">
        <v>34</v>
      </c>
      <c r="B3" s="30">
        <v>1050621945.9299999</v>
      </c>
      <c r="C3" s="29">
        <f t="shared" si="0"/>
        <v>269648775.81951636</v>
      </c>
      <c r="D3" s="150">
        <v>214500468.38999999</v>
      </c>
      <c r="E3" s="29">
        <v>320016789.08999997</v>
      </c>
      <c r="F3" s="59">
        <f t="shared" si="1"/>
        <v>0.84</v>
      </c>
      <c r="G3" s="124">
        <v>293529564.58999997</v>
      </c>
      <c r="H3" s="59">
        <f t="shared" si="2"/>
        <v>0.92</v>
      </c>
      <c r="I3" s="60">
        <f t="shared" ref="I3:I14" si="3">(IF(C3&lt;G3,C3,G3))*0.3911</f>
        <v>105459636.22301285</v>
      </c>
      <c r="J3" s="60">
        <f t="shared" ref="J3:J14" si="4">I:I*1.1</f>
        <v>116005599.84531415</v>
      </c>
      <c r="K3" s="61">
        <f t="shared" ref="K3:K14" si="5">J3/2</f>
        <v>58002799.922657073</v>
      </c>
      <c r="L3" s="138"/>
      <c r="M3" s="138"/>
      <c r="N3" s="138"/>
    </row>
    <row r="4" spans="1:14" ht="15">
      <c r="A4" s="7" t="s">
        <v>35</v>
      </c>
      <c r="B4" s="44">
        <v>179128120.38</v>
      </c>
      <c r="C4" s="29">
        <f t="shared" si="0"/>
        <v>45974366.481143512</v>
      </c>
      <c r="D4" s="29">
        <v>38443867.619999997</v>
      </c>
      <c r="E4" s="29">
        <v>65813731.549999997</v>
      </c>
      <c r="F4" s="59">
        <f t="shared" si="1"/>
        <v>0.7</v>
      </c>
      <c r="G4" s="124">
        <v>50493794.020000003</v>
      </c>
      <c r="H4" s="59">
        <f t="shared" si="2"/>
        <v>0.91</v>
      </c>
      <c r="I4" s="60">
        <f t="shared" si="3"/>
        <v>17980574.730775226</v>
      </c>
      <c r="J4" s="60">
        <f t="shared" si="4"/>
        <v>19778632.20385275</v>
      </c>
      <c r="K4" s="61">
        <f t="shared" si="5"/>
        <v>9889316.1019263752</v>
      </c>
      <c r="L4" s="138"/>
      <c r="M4" s="138"/>
      <c r="N4" s="138"/>
    </row>
    <row r="5" spans="1:14" ht="15">
      <c r="A5" s="7" t="s">
        <v>36</v>
      </c>
      <c r="B5" s="30">
        <v>1389980347.46</v>
      </c>
      <c r="C5" s="29">
        <f t="shared" si="0"/>
        <v>356747258.66686529</v>
      </c>
      <c r="D5" s="29">
        <v>180156755.72</v>
      </c>
      <c r="E5" s="29">
        <v>362708487.19</v>
      </c>
      <c r="F5" s="59">
        <f t="shared" si="1"/>
        <v>0.98</v>
      </c>
      <c r="G5" s="124">
        <v>389404597.70999998</v>
      </c>
      <c r="H5" s="59">
        <f t="shared" si="2"/>
        <v>0.92</v>
      </c>
      <c r="I5" s="60">
        <f t="shared" si="3"/>
        <v>139523852.86461103</v>
      </c>
      <c r="J5" s="60">
        <f t="shared" si="4"/>
        <v>153476238.15107214</v>
      </c>
      <c r="K5" s="61">
        <f t="shared" si="5"/>
        <v>76738119.075536072</v>
      </c>
      <c r="L5" s="138"/>
      <c r="M5" s="138"/>
      <c r="N5" s="138"/>
    </row>
    <row r="6" spans="1:14" ht="15">
      <c r="A6" s="7" t="s">
        <v>37</v>
      </c>
      <c r="B6" s="30">
        <v>602993527.45000005</v>
      </c>
      <c r="C6" s="29">
        <f t="shared" si="0"/>
        <v>154762107.4677397</v>
      </c>
      <c r="D6" s="29">
        <v>104298573.79000001</v>
      </c>
      <c r="E6" s="29">
        <v>180144397.94</v>
      </c>
      <c r="F6" s="59">
        <f t="shared" si="1"/>
        <v>0.86</v>
      </c>
      <c r="G6" s="124">
        <v>169574892.03</v>
      </c>
      <c r="H6" s="59">
        <f t="shared" si="2"/>
        <v>0.91</v>
      </c>
      <c r="I6" s="60">
        <f t="shared" si="3"/>
        <v>60527460.230632998</v>
      </c>
      <c r="J6" s="60">
        <f t="shared" si="4"/>
        <v>66580206.2536963</v>
      </c>
      <c r="K6" s="61">
        <f t="shared" si="5"/>
        <v>33290103.12684815</v>
      </c>
      <c r="L6" s="138"/>
      <c r="M6" s="138"/>
      <c r="N6" s="138"/>
    </row>
    <row r="7" spans="1:14" ht="15">
      <c r="A7" s="7" t="s">
        <v>38</v>
      </c>
      <c r="B7" s="30">
        <v>118455597.73999999</v>
      </c>
      <c r="C7" s="29">
        <f t="shared" si="0"/>
        <v>30402379.317601118</v>
      </c>
      <c r="D7" s="29">
        <v>23652375.57</v>
      </c>
      <c r="E7" s="29">
        <v>34673119.850000001</v>
      </c>
      <c r="F7" s="59">
        <f t="shared" si="1"/>
        <v>0.88</v>
      </c>
      <c r="G7" s="124">
        <v>33195803.640000001</v>
      </c>
      <c r="H7" s="59">
        <f t="shared" si="2"/>
        <v>0.92</v>
      </c>
      <c r="I7" s="60">
        <f t="shared" si="3"/>
        <v>11890370.551113797</v>
      </c>
      <c r="J7" s="60">
        <f t="shared" si="4"/>
        <v>13079407.606225178</v>
      </c>
      <c r="K7" s="61">
        <f t="shared" si="5"/>
        <v>6539703.8031125888</v>
      </c>
      <c r="L7" s="138"/>
      <c r="M7" s="138"/>
      <c r="N7" s="138"/>
    </row>
    <row r="8" spans="1:14" ht="15">
      <c r="A8" s="7" t="s">
        <v>39</v>
      </c>
      <c r="B8" s="30">
        <v>214526309.59999999</v>
      </c>
      <c r="C8" s="29">
        <f t="shared" si="0"/>
        <v>55059535.914713062</v>
      </c>
      <c r="D8" s="29">
        <v>38476057.93</v>
      </c>
      <c r="E8" s="29">
        <v>68755104.780000001</v>
      </c>
      <c r="F8" s="59">
        <f t="shared" si="1"/>
        <v>0.8</v>
      </c>
      <c r="G8" s="124">
        <v>60142181.780000001</v>
      </c>
      <c r="H8" s="59">
        <f t="shared" si="2"/>
        <v>0.92</v>
      </c>
      <c r="I8" s="60">
        <f t="shared" si="3"/>
        <v>21533784.496244278</v>
      </c>
      <c r="J8" s="60">
        <f t="shared" si="4"/>
        <v>23687162.945868708</v>
      </c>
      <c r="K8" s="61">
        <f t="shared" si="5"/>
        <v>11843581.472934354</v>
      </c>
      <c r="L8" s="138"/>
      <c r="M8" s="138"/>
      <c r="N8" s="138"/>
    </row>
    <row r="9" spans="1:14" ht="15">
      <c r="A9" s="7" t="s">
        <v>40</v>
      </c>
      <c r="B9" s="30">
        <v>290653526.76999998</v>
      </c>
      <c r="C9" s="29">
        <f t="shared" si="0"/>
        <v>74598068.301133126</v>
      </c>
      <c r="D9" s="29">
        <v>66019274.840000004</v>
      </c>
      <c r="E9" s="29">
        <v>109579401.64</v>
      </c>
      <c r="F9" s="59">
        <f t="shared" si="1"/>
        <v>0.68</v>
      </c>
      <c r="G9" s="124">
        <v>81241816</v>
      </c>
      <c r="H9" s="59">
        <f t="shared" si="2"/>
        <v>0.92</v>
      </c>
      <c r="I9" s="60">
        <f t="shared" si="3"/>
        <v>29175304.512573168</v>
      </c>
      <c r="J9" s="60">
        <f t="shared" si="4"/>
        <v>32092834.963830486</v>
      </c>
      <c r="K9" s="61">
        <f t="shared" si="5"/>
        <v>16046417.481915243</v>
      </c>
      <c r="L9" s="138"/>
      <c r="M9" s="138"/>
      <c r="N9" s="138"/>
    </row>
    <row r="10" spans="1:14" ht="15">
      <c r="A10" s="7" t="s">
        <v>41</v>
      </c>
      <c r="B10" s="30">
        <v>337764234.93000001</v>
      </c>
      <c r="C10" s="29">
        <f t="shared" si="0"/>
        <v>86689329.893893436</v>
      </c>
      <c r="D10" s="29">
        <v>61065686.57</v>
      </c>
      <c r="E10" s="29">
        <v>109664828.76000001</v>
      </c>
      <c r="F10" s="59">
        <f t="shared" si="1"/>
        <v>0.79</v>
      </c>
      <c r="G10" s="124">
        <v>94682638.870000005</v>
      </c>
      <c r="H10" s="59">
        <f t="shared" si="2"/>
        <v>0.92</v>
      </c>
      <c r="I10" s="60">
        <f t="shared" si="3"/>
        <v>33904196.921501726</v>
      </c>
      <c r="J10" s="60">
        <f t="shared" si="4"/>
        <v>37294616.613651901</v>
      </c>
      <c r="K10" s="61">
        <f t="shared" si="5"/>
        <v>18647308.306825951</v>
      </c>
      <c r="L10" s="138"/>
      <c r="M10" s="138"/>
      <c r="N10" s="138"/>
    </row>
    <row r="11" spans="1:14" ht="15">
      <c r="A11" s="7" t="s">
        <v>42</v>
      </c>
      <c r="B11" s="31">
        <v>329713549.81999999</v>
      </c>
      <c r="C11" s="29">
        <f t="shared" si="0"/>
        <v>84623070.576895937</v>
      </c>
      <c r="D11" s="150">
        <v>40709250.759999998</v>
      </c>
      <c r="E11" s="29">
        <v>73494464.200000003</v>
      </c>
      <c r="F11" s="59">
        <f t="shared" si="1"/>
        <v>1</v>
      </c>
      <c r="G11" s="124">
        <v>80123190.489999995</v>
      </c>
      <c r="H11" s="59">
        <f t="shared" si="2"/>
        <v>1</v>
      </c>
      <c r="I11" s="60">
        <f t="shared" si="3"/>
        <v>31336179.800639</v>
      </c>
      <c r="J11" s="60">
        <f t="shared" si="4"/>
        <v>34469797.780702904</v>
      </c>
      <c r="K11" s="61">
        <f t="shared" si="5"/>
        <v>17234898.890351452</v>
      </c>
      <c r="L11" s="138"/>
      <c r="M11" s="138"/>
      <c r="N11" s="138"/>
    </row>
    <row r="12" spans="1:14" ht="15">
      <c r="A12" s="7" t="s">
        <v>43</v>
      </c>
      <c r="B12" s="30">
        <v>190791160.06999999</v>
      </c>
      <c r="C12" s="29">
        <f t="shared" si="0"/>
        <v>48967759.47747872</v>
      </c>
      <c r="D12" s="150">
        <v>32493288.690000001</v>
      </c>
      <c r="E12" s="49">
        <v>59228530.869999997</v>
      </c>
      <c r="F12" s="59">
        <f t="shared" si="1"/>
        <v>0.83</v>
      </c>
      <c r="G12" s="124">
        <v>53374096.469999999</v>
      </c>
      <c r="H12" s="59">
        <f t="shared" si="2"/>
        <v>0.92</v>
      </c>
      <c r="I12" s="60">
        <f t="shared" si="3"/>
        <v>19151290.731641926</v>
      </c>
      <c r="J12" s="60">
        <f t="shared" si="4"/>
        <v>21066419.804806121</v>
      </c>
      <c r="K12" s="61">
        <f t="shared" si="5"/>
        <v>10533209.90240306</v>
      </c>
      <c r="L12" s="138"/>
      <c r="M12" s="138"/>
      <c r="N12" s="138"/>
    </row>
    <row r="13" spans="1:14" ht="15">
      <c r="A13" s="7" t="s">
        <v>18</v>
      </c>
      <c r="B13" s="32">
        <v>702598965.89999998</v>
      </c>
      <c r="C13" s="29">
        <f t="shared" si="0"/>
        <v>180326474.028952</v>
      </c>
      <c r="D13" s="29">
        <v>170670683.28</v>
      </c>
      <c r="E13" s="29">
        <v>253222974.28</v>
      </c>
      <c r="F13" s="59">
        <f t="shared" si="1"/>
        <v>0.71</v>
      </c>
      <c r="G13" s="124">
        <v>198232657.44999999</v>
      </c>
      <c r="H13" s="59">
        <f t="shared" si="2"/>
        <v>0.91</v>
      </c>
      <c r="I13" s="60">
        <f t="shared" si="3"/>
        <v>70525683.992723122</v>
      </c>
      <c r="J13" s="60">
        <f t="shared" si="4"/>
        <v>77578252.391995445</v>
      </c>
      <c r="K13" s="61">
        <f t="shared" si="5"/>
        <v>38789126.195997722</v>
      </c>
      <c r="L13" s="138"/>
      <c r="M13" s="138"/>
      <c r="N13" s="138"/>
    </row>
    <row r="14" spans="1:14" ht="15">
      <c r="A14" s="7" t="s">
        <v>44</v>
      </c>
      <c r="B14" s="29">
        <v>282470809.75999999</v>
      </c>
      <c r="C14" s="29">
        <f t="shared" si="0"/>
        <v>72497922.160866752</v>
      </c>
      <c r="D14" s="29">
        <v>61194868.829999998</v>
      </c>
      <c r="E14" s="29">
        <v>92997337.400000006</v>
      </c>
      <c r="F14" s="59">
        <f t="shared" si="1"/>
        <v>0.78</v>
      </c>
      <c r="G14" s="124">
        <v>79196943.840000004</v>
      </c>
      <c r="H14" s="59">
        <f t="shared" si="2"/>
        <v>0.92</v>
      </c>
      <c r="I14" s="60">
        <f t="shared" si="3"/>
        <v>28353937.357114986</v>
      </c>
      <c r="J14" s="60">
        <f t="shared" si="4"/>
        <v>31189331.092826486</v>
      </c>
      <c r="K14" s="61">
        <f t="shared" si="5"/>
        <v>15594665.546413243</v>
      </c>
      <c r="L14" s="138"/>
      <c r="M14" s="138"/>
      <c r="N14" s="138"/>
    </row>
    <row r="15" spans="1:14" ht="15">
      <c r="A15" s="7" t="s">
        <v>45</v>
      </c>
      <c r="B15" s="62">
        <f>SUM(B2:B14)</f>
        <v>6234017226.2199993</v>
      </c>
      <c r="C15" s="29">
        <v>1600000000</v>
      </c>
      <c r="D15" s="29">
        <f>SUM(D2:D14)</f>
        <v>1165509120.3900001</v>
      </c>
      <c r="E15" s="29">
        <f>SUM(E2:E14)</f>
        <v>1988717759.03</v>
      </c>
      <c r="F15" s="29"/>
      <c r="G15" s="29">
        <f>SUM(G2:G14)</f>
        <v>1736285025.27</v>
      </c>
      <c r="H15" s="29"/>
      <c r="I15" s="29">
        <f>SUM(I2:I14)</f>
        <v>624000096.89801514</v>
      </c>
      <c r="J15" s="29">
        <f>SUM(J2:J14)</f>
        <v>686400106.58781672</v>
      </c>
      <c r="K15" s="29">
        <f>SUM(K2:K14)</f>
        <v>343200053.29390836</v>
      </c>
      <c r="L15" s="138"/>
      <c r="M15" s="138"/>
      <c r="N15" s="138"/>
    </row>
    <row r="16" spans="1:14">
      <c r="D16" s="22"/>
    </row>
    <row r="17" spans="1:3" ht="54.75" customHeight="1">
      <c r="A17" s="157" t="s">
        <v>59</v>
      </c>
      <c r="B17" s="157"/>
      <c r="C17" s="157"/>
    </row>
    <row r="18" spans="1:3" ht="30.75" customHeight="1">
      <c r="A18" s="157" t="s">
        <v>46</v>
      </c>
      <c r="B18" s="157"/>
      <c r="C18" s="157"/>
    </row>
  </sheetData>
  <mergeCells count="2">
    <mergeCell ref="A17:C17"/>
    <mergeCell ref="A18:C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NEW 1. Summary</vt:lpstr>
      <vt:lpstr>2. Analysis</vt:lpstr>
      <vt:lpstr>NEW 3. IGT Commitments</vt:lpstr>
      <vt:lpstr>4. MCO</vt:lpstr>
      <vt:lpstr>Internal Actuarial</vt:lpstr>
      <vt:lpstr>Internal BN Allotment &amp; IGT</vt:lpstr>
      <vt:lpstr>'2. Analysis'!_MailOriginalBody</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Selvadas Govind</dc:creator>
  <cp:lastModifiedBy>Buche,Rachel (HHSC)</cp:lastModifiedBy>
  <cp:revision/>
  <cp:lastPrinted>2019-03-27T18:21:20Z</cp:lastPrinted>
  <dcterms:created xsi:type="dcterms:W3CDTF">2017-03-02T20:42:51Z</dcterms:created>
  <dcterms:modified xsi:type="dcterms:W3CDTF">2019-05-08T15:07:38Z</dcterms:modified>
</cp:coreProperties>
</file>